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iwWM5x+TISdkkrHFj8uvDsJIHy5WXZJaMsRxxRAoa2GENwLFtemOxcF03fMAjMa6qATrcONjqZEtpnISVa2dg==" workbookSaltValue="2e2wV1ZH1Ihdu+pZ0m2J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AK19" i="8"/>
  <c r="EP19" i="8"/>
  <c r="AJ13" i="16"/>
  <c r="AP16" i="20"/>
  <c r="BF17" i="11"/>
  <c r="S13" i="16"/>
  <c r="P13" i="16"/>
  <c r="H13" i="21"/>
  <c r="AN13" i="20"/>
  <c r="F15" i="17"/>
  <c r="AQ15" i="17" s="1"/>
  <c r="M18" i="2"/>
  <c r="AO12" i="11"/>
  <c r="F13" i="7"/>
  <c r="BM12" i="11"/>
  <c r="BK17" i="11"/>
  <c r="BV11" i="16"/>
  <c r="T13" i="16"/>
  <c r="AQ10" i="21"/>
  <c r="BJ16" i="11"/>
  <c r="T13" i="20"/>
  <c r="BG12" i="8"/>
  <c r="BD9" i="8"/>
  <c r="AA10" i="16"/>
  <c r="BF15" i="13"/>
  <c r="BG15" i="13"/>
  <c r="BA18" i="13"/>
  <c r="BE15" i="13"/>
  <c r="BF16" i="13"/>
  <c r="AV20" i="20"/>
  <c r="AP20" i="20"/>
  <c r="W20" i="20"/>
  <c r="AA20" i="20"/>
  <c r="M20" i="20"/>
  <c r="BD17" i="8" l="1"/>
  <c r="AN12" i="11"/>
  <c r="H13" i="12"/>
  <c r="K12" i="7"/>
  <c r="E12" i="6"/>
  <c r="BG10" i="8"/>
  <c r="AO9" i="11"/>
  <c r="BM17" i="11"/>
  <c r="BG12" i="11"/>
  <c r="V12" i="16"/>
  <c r="BV17" i="16"/>
  <c r="BJ12" i="11"/>
  <c r="BH15" i="11"/>
  <c r="BE9" i="8"/>
  <c r="I9" i="7" s="1"/>
  <c r="F15" i="16"/>
  <c r="BG15" i="8"/>
  <c r="AO17" i="11"/>
  <c r="BE12" i="2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Q18" i="17"/>
  <c r="P18" i="17"/>
  <c r="P19" i="17" s="1"/>
  <c r="I12" i="12"/>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S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P20" i="17"/>
  <c r="AP20" i="11" l="1"/>
  <c r="BL20" i="16"/>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<sst xmlns="http://schemas.openxmlformats.org/spreadsheetml/2006/main" count="2102" uniqueCount="916">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</sst>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mhahmHYVQdP31RblzNQUrUbr4N+zwO7uvHYQTeEjysmv0pzphTWTI5I2+bTqWH03KWxtOFtQB2bz3qFsSsRZg==" saltValue="/PiyZ0SKo1nEBGnBJOOR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240</v>
      </c>
      <c r="D10" s="225">
        <f>IF(ISNUMBER(Datos!I10),Datos!I10," - ")</f>
        <v>240</v>
      </c>
      <c r="E10" s="226">
        <f>IF(ISNUMBER(Datos!J10),Datos!J10," - ")</f>
        <v>35</v>
      </c>
      <c r="F10" s="226">
        <f>IF(ISNUMBER(Datos!K10),Datos!K10," - ")</f>
        <v>18</v>
      </c>
      <c r="G10" s="1034" t="str">
        <f>IF(Datos!E10&lt;&gt;"",Datos!E10,Datos!D10)</f>
        <v>37</v>
      </c>
      <c r="H10" s="227">
        <f>IF(ISNUMBER(Datos!L10),Datos!L10," - ")</f>
        <v>257</v>
      </c>
      <c r="I10" s="1044" t="str">
        <f>IF(ISNUMBER(Datos!AS10/Datos!BM10),Datos!AS10/Datos!BM10," - ")</f>
        <v xml:space="preserve"> - </v>
      </c>
      <c r="J10" s="1045">
        <f>IF(ISNUMBER(Datos!BY10/Datos!CN10),Datos!BY10/Datos!CN10," - ")</f>
        <v>0</v>
      </c>
      <c r="K10" s="230">
        <f t="shared" ref="K10:K12" si="1">IF(ISNUMBER((E10-F10)/C10),(E10-F10)/C10," - ")</f>
        <v>7.0833333333333331E-2</v>
      </c>
      <c r="L10" s="1025">
        <f>IF(ISNUMBER(NºAsuntos!I10/NºAsuntos!G10),(NºAsuntos!I10/NºAsuntos!G10)*11," - ")</f>
        <v>157.05555555555557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51.704526748971197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240</v>
      </c>
      <c r="D13" s="1049">
        <f>SUBTOTAL(9,D9:D12)</f>
        <v>240</v>
      </c>
      <c r="E13" s="1050">
        <f>SUBTOTAL(9,E9:E12)</f>
        <v>35</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9</v>
      </c>
      <c r="B16" s="502" t="str">
        <f>Datos!A16</f>
        <v xml:space="preserve">Jdos. 1ª Instª. e Instr.                        </v>
      </c>
      <c r="C16" s="225">
        <f t="shared" si="2"/>
        <v>4811</v>
      </c>
      <c r="D16" s="225">
        <f>IF(ISNUMBER(IF(D_I="SI",Datos!I16,Datos!I16+Datos!AC16)),IF(D_I="SI",Datos!I16,Datos!I16+Datos!AC16)," - ")</f>
        <v>4804</v>
      </c>
      <c r="E16" s="226">
        <f>IF(ISNUMBER(IF(D_I="SI",Datos!J16,Datos!J16+Datos!AD16)),IF(D_I="SI",Datos!J16,Datos!J16+Datos!AD16)," - ")</f>
        <v>2824</v>
      </c>
      <c r="F16" s="226">
        <f>IF(ISNUMBER(IF(D_I="SI",Datos!K16,Datos!K16+Datos!AE16)),IF(D_I="SI",Datos!K16,Datos!K16+Datos!AE16)," - ")</f>
        <v>2829</v>
      </c>
      <c r="G16" s="1034" t="str">
        <f>IF(Datos!E16&lt;&gt;"",Datos!E16,Datos!D16)</f>
        <v>04</v>
      </c>
      <c r="H16" s="227">
        <f>IF(ISNUMBER(IF(D_I="SI",Datos!L16,Datos!L16+Datos!AF16)),IF(D_I="SI",Datos!L16,Datos!L16+Datos!AF16)," - ")</f>
        <v>4806</v>
      </c>
      <c r="I16" s="1044" t="str">
        <f>IF(ISNUMBER(Datos!AS16/Datos!BM16),Datos!AS16/Datos!BM16," - ")</f>
        <v xml:space="preserve"> - </v>
      </c>
      <c r="J16" s="1045">
        <f>IF(ISNUMBER(Datos!BY16/Datos!CN16),Datos!BY16/Datos!CN16," - ")</f>
        <v>0</v>
      </c>
      <c r="K16" s="230">
        <f t="shared" si="3"/>
        <v>-1.0392849719393059E-3</v>
      </c>
      <c r="L16" s="1025">
        <f>IF(ISNUMBER(NºAsuntos!I16/NºAsuntos!G16),(NºAsuntos!I16/NºAsuntos!G16)*11," - ")</f>
        <v>18.687168610816542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459</v>
      </c>
      <c r="D17" s="225">
        <f>IF(ISNUMBER(IF(D_I="SI",Datos!I17,Datos!I17+Datos!AC17)),IF(D_I="SI",Datos!I17,Datos!I17+Datos!AC17)," - ")</f>
        <v>459</v>
      </c>
      <c r="E17" s="226">
        <f>IF(ISNUMBER(IF(D_I="SI",Datos!J17,Datos!J17+Datos!AD17)),IF(D_I="SI",Datos!J17,Datos!J17+Datos!AD17)," - ")</f>
        <v>228</v>
      </c>
      <c r="F17" s="226">
        <f>IF(ISNUMBER(IF(D_I="SI",Datos!K17,Datos!K17+Datos!AE17)),IF(D_I="SI",Datos!K17,Datos!K17+Datos!AE17)," - ")</f>
        <v>227</v>
      </c>
      <c r="G17" s="1034" t="str">
        <f>IF(Datos!E17&lt;&gt;"",Datos!E17,Datos!D17)</f>
        <v>37</v>
      </c>
      <c r="H17" s="227">
        <f>IF(ISNUMBER(IF(D_I="SI",Datos!L17,Datos!L17+Datos!AF17)),IF(D_I="SI",Datos!L17,Datos!L17+Datos!AF17)," - ")</f>
        <v>460</v>
      </c>
      <c r="I17" s="1044" t="str">
        <f>IF(ISNUMBER(Datos!AS17/Datos!BM17),Datos!AS17/Datos!BM17," - ")</f>
        <v xml:space="preserve"> - </v>
      </c>
      <c r="J17" s="1045" t="str">
        <f>IF(ISNUMBER((Datos!BY17+Datos!BZ17)/Datos!CN17),(Datos!BY17+Datos!BZ17)/Datos!CN17," - ")</f>
        <v xml:space="preserve"> - </v>
      </c>
      <c r="K17" s="230">
        <f t="shared" si="3"/>
        <v>2.1786492374727671E-3</v>
      </c>
      <c r="L17" s="1025">
        <f>IF(ISNUMBER(NºAsuntos!I17/NºAsuntos!G17),(NºAsuntos!I17/NºAsuntos!G17)*11," - ")</f>
        <v>22.290748898678416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5270</v>
      </c>
      <c r="D18" s="1049">
        <f>SUBTOTAL(9,D15:D17)</f>
        <v>5263</v>
      </c>
      <c r="E18" s="1050">
        <f>SUBTOTAL(9,E15:E17)</f>
        <v>3052</v>
      </c>
      <c r="F18" s="1050">
        <f>SUBTOTAL(9,F15:F17)</f>
        <v>3056</v>
      </c>
      <c r="G18" s="1052" t="str">
        <f ca="1">INDIRECT(CONCATENATE("G",ROW()-1))</f>
        <v>37</v>
      </c>
      <c r="H18" s="1053">
        <f ca="1">SUMIF(G$14:G17,G18,H$14:H17)</f>
        <v>460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5510</v>
      </c>
      <c r="D19" s="1071">
        <f>SUBTOTAL(9,D9:D18)</f>
        <v>5503</v>
      </c>
      <c r="E19" s="1072">
        <f>SUBTOTAL(9,E9:E18)</f>
        <v>3087</v>
      </c>
      <c r="F19" s="1072">
        <f>SUBTOTAL(9,F9:F18)</f>
        <v>3074</v>
      </c>
      <c r="G19" s="1073"/>
      <c r="H19" s="1074">
        <f ca="1">SUMIF(B9:B18,"TOTAL",H9:H18)</f>
        <v>460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vUHDN9ctrlU33jZKbhHMQgdI9bYr5mzquLaEs9eqzY1Ev8CSHGTql4iMmoqgR6PgN39yImK8EMqxsO257nevA==" saltValue="nBA+fCndhpHWax4I84wc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5wxXyAmDwabkgoQuvb/YXNVs87bKzM2HqkIEin+AYNyL3mdcXF3d1XEGPbLf62xWVdV8CuCNwk5/oA3i9U6r7w==" saltValue="VdRdIvpQESCfxvZLCIvp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240</v>
      </c>
      <c r="J10" s="181">
        <v>35</v>
      </c>
      <c r="K10" s="181">
        <v>18</v>
      </c>
      <c r="L10" s="181">
        <v>257</v>
      </c>
      <c r="M10" s="181">
        <v>2</v>
      </c>
      <c r="N10" s="181">
        <v>13</v>
      </c>
      <c r="O10" s="181">
        <v>1</v>
      </c>
      <c r="P10" s="181">
        <v>2</v>
      </c>
      <c r="Q10" s="181">
        <v>3</v>
      </c>
      <c r="R10" s="181">
        <v>45</v>
      </c>
      <c r="S10" s="181">
        <v>153</v>
      </c>
      <c r="T10" s="181">
        <v>27</v>
      </c>
      <c r="U10" s="181">
        <v>17</v>
      </c>
      <c r="V10" s="181">
        <v>209</v>
      </c>
      <c r="W10" s="181">
        <v>7</v>
      </c>
      <c r="X10" s="188">
        <v>3</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153</v>
      </c>
      <c r="AZ10" s="129">
        <f t="shared" si="0"/>
        <v>27</v>
      </c>
      <c r="BA10" s="129">
        <f t="shared" si="0"/>
        <v>17</v>
      </c>
      <c r="BB10" s="129">
        <f t="shared" si="0"/>
        <v>209</v>
      </c>
      <c r="BC10" s="125">
        <f t="shared" si="0"/>
        <v>7</v>
      </c>
      <c r="BD10" s="126">
        <f>IF(ISNUMBER(BA10/AZ10),BA10/AZ10," - ")</f>
        <v>0.62962962962962965</v>
      </c>
      <c r="BE10" s="127">
        <f>IF(ISNUMBER(BB10/BA10),BB10/BA10, " - ")</f>
        <v>12.294117647058824</v>
      </c>
      <c r="BF10" s="127">
        <f>IF(ISNUMBER(BC10/BA10),BC10/BA10, " - ")</f>
        <v>0.41176470588235292</v>
      </c>
      <c r="BG10" s="196">
        <f>IF(ISNUMBER((AY10+AZ10)/BA10),(AY10+AZ10)/BA10," - ")</f>
        <v>10.588235294117647</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11691</v>
      </c>
      <c r="J12" s="183">
        <v>1712</v>
      </c>
      <c r="K12" s="183">
        <v>2348</v>
      </c>
      <c r="L12" s="183">
        <v>11162</v>
      </c>
      <c r="M12" s="183">
        <v>451</v>
      </c>
      <c r="N12" s="183">
        <v>990</v>
      </c>
      <c r="O12" s="181">
        <v>982</v>
      </c>
      <c r="P12" s="183">
        <v>750</v>
      </c>
      <c r="Q12" s="183">
        <v>582</v>
      </c>
      <c r="R12" s="183">
        <v>11862</v>
      </c>
      <c r="S12" s="183">
        <v>9755</v>
      </c>
      <c r="T12" s="183">
        <v>2014</v>
      </c>
      <c r="U12" s="183">
        <v>2047</v>
      </c>
      <c r="V12" s="183">
        <v>9920</v>
      </c>
      <c r="W12" s="183">
        <v>520</v>
      </c>
      <c r="X12" s="189">
        <v>915</v>
      </c>
      <c r="Y12" s="191">
        <v>232</v>
      </c>
      <c r="Z12" s="181">
        <v>110</v>
      </c>
      <c r="AA12" s="181">
        <v>82</v>
      </c>
      <c r="AB12" s="181">
        <v>260</v>
      </c>
      <c r="AC12" s="183">
        <v>0</v>
      </c>
      <c r="AD12" s="183">
        <v>0</v>
      </c>
      <c r="AE12" s="183">
        <v>0</v>
      </c>
      <c r="AF12" s="189">
        <v>0</v>
      </c>
      <c r="AG12" s="202">
        <v>248</v>
      </c>
      <c r="AH12" s="183">
        <v>86</v>
      </c>
      <c r="AI12" s="183">
        <v>102</v>
      </c>
      <c r="AJ12" s="203">
        <v>240</v>
      </c>
      <c r="AK12" s="182">
        <v>0</v>
      </c>
      <c r="AL12" s="183">
        <v>0</v>
      </c>
      <c r="AM12" s="183">
        <v>0</v>
      </c>
      <c r="AN12" s="189">
        <v>0</v>
      </c>
      <c r="AO12" s="259">
        <v>9</v>
      </c>
      <c r="AP12" s="155">
        <v>9</v>
      </c>
      <c r="AQ12" s="155">
        <v>9</v>
      </c>
      <c r="AR12" s="154">
        <v>9</v>
      </c>
      <c r="AS12" s="340" t="s">
        <v>794</v>
      </c>
      <c r="AT12" s="203"/>
      <c r="AU12" s="202"/>
      <c r="AV12" s="203"/>
      <c r="AW12" s="202"/>
      <c r="AX12" s="203"/>
      <c r="AY12" s="126">
        <f t="shared" si="1"/>
        <v>10003</v>
      </c>
      <c r="AZ12" s="127">
        <f t="shared" si="1"/>
        <v>2100</v>
      </c>
      <c r="BA12" s="127">
        <f t="shared" si="1"/>
        <v>2149</v>
      </c>
      <c r="BB12" s="127">
        <f t="shared" si="1"/>
        <v>10160</v>
      </c>
      <c r="BC12" s="125">
        <f>IF(ISNUMBER(X12),X12," - ")</f>
        <v>915</v>
      </c>
      <c r="BD12" s="126">
        <f t="shared" si="2"/>
        <v>1.0233333333333334</v>
      </c>
      <c r="BE12" s="127">
        <f t="shared" si="3"/>
        <v>4.7277803629595159</v>
      </c>
      <c r="BF12" s="127">
        <f t="shared" si="4"/>
        <v>0.42577943229409027</v>
      </c>
      <c r="BG12" s="196">
        <f t="shared" si="5"/>
        <v>5.6319218241042348</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11931</v>
      </c>
      <c r="J13" s="184">
        <f t="shared" si="6"/>
        <v>1747</v>
      </c>
      <c r="K13" s="184">
        <f t="shared" si="6"/>
        <v>2366</v>
      </c>
      <c r="L13" s="184">
        <f t="shared" si="6"/>
        <v>11419</v>
      </c>
      <c r="M13" s="184">
        <f t="shared" si="6"/>
        <v>453</v>
      </c>
      <c r="N13" s="184">
        <f t="shared" si="6"/>
        <v>1003</v>
      </c>
      <c r="O13" s="184">
        <f t="shared" si="6"/>
        <v>983</v>
      </c>
      <c r="P13" s="184">
        <f t="shared" si="6"/>
        <v>752</v>
      </c>
      <c r="Q13" s="184">
        <f t="shared" si="6"/>
        <v>585</v>
      </c>
      <c r="R13" s="184">
        <f t="shared" si="6"/>
        <v>11907</v>
      </c>
      <c r="S13" s="184">
        <f t="shared" si="6"/>
        <v>9908</v>
      </c>
      <c r="T13" s="184">
        <f t="shared" si="6"/>
        <v>2041</v>
      </c>
      <c r="U13" s="184">
        <f t="shared" si="6"/>
        <v>2064</v>
      </c>
      <c r="V13" s="184">
        <f t="shared" si="6"/>
        <v>10129</v>
      </c>
      <c r="W13" s="184">
        <f t="shared" si="6"/>
        <v>527</v>
      </c>
      <c r="X13" s="184">
        <f t="shared" si="6"/>
        <v>918</v>
      </c>
      <c r="Y13" s="184">
        <f t="shared" si="6"/>
        <v>232</v>
      </c>
      <c r="Z13" s="184">
        <f t="shared" si="6"/>
        <v>110</v>
      </c>
      <c r="AA13" s="184">
        <f t="shared" si="6"/>
        <v>82</v>
      </c>
      <c r="AB13" s="184">
        <f t="shared" si="6"/>
        <v>260</v>
      </c>
      <c r="AC13" s="184">
        <f t="shared" si="6"/>
        <v>0</v>
      </c>
      <c r="AD13" s="184">
        <f t="shared" si="6"/>
        <v>0</v>
      </c>
      <c r="AE13" s="184">
        <f t="shared" si="6"/>
        <v>0</v>
      </c>
      <c r="AF13" s="184">
        <f>SUBTOTAL(9,AF9:AF12)</f>
        <v>0</v>
      </c>
      <c r="AG13" s="184">
        <f t="shared" ref="AG13:AT13" si="7">SUBTOTAL(9,AG8:AG12)</f>
        <v>248</v>
      </c>
      <c r="AH13" s="184">
        <f t="shared" si="7"/>
        <v>86</v>
      </c>
      <c r="AI13" s="184">
        <f t="shared" si="7"/>
        <v>102</v>
      </c>
      <c r="AJ13" s="184">
        <f t="shared" si="7"/>
        <v>240</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10156</v>
      </c>
      <c r="AZ13" s="184">
        <f>SUBTOTAL(9,AZ8:AZ12)</f>
        <v>2127</v>
      </c>
      <c r="BA13" s="184">
        <f>SUBTOTAL(9,BA8:BA12)</f>
        <v>2166</v>
      </c>
      <c r="BB13" s="184">
        <f>SUBTOTAL(9,BB8:BB12)</f>
        <v>10369</v>
      </c>
      <c r="BC13" s="184">
        <f>SUBTOTAL(9,BC8:BC12)</f>
        <v>922</v>
      </c>
      <c r="BD13" s="205">
        <f>IF(ISNUMBER(BA13/AZ13),BA13/AZ13," - ")</f>
        <v>1.0183356840620592</v>
      </c>
      <c r="BE13" s="206">
        <f>IF(ISNUMBER(BB13/BA13),BB13/BA13, " - ")</f>
        <v>4.7871652816251151</v>
      </c>
      <c r="BF13" s="206">
        <f>IF(ISNUMBER(BC13/BA13),BC13/BA13, " - ")</f>
        <v>0.42566943674976915</v>
      </c>
      <c r="BG13" s="207">
        <f>IF(ISNUMBER((AY13+AZ13)/BA13),(AY13+AZ13)/BA13," - ")</f>
        <v>5.6708217913204066</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4804</v>
      </c>
      <c r="J16" s="183">
        <v>2824</v>
      </c>
      <c r="K16" s="183">
        <v>2829</v>
      </c>
      <c r="L16" s="183">
        <v>4806</v>
      </c>
      <c r="M16" s="183">
        <v>367</v>
      </c>
      <c r="N16" s="183">
        <v>1537</v>
      </c>
      <c r="O16" s="181">
        <v>16</v>
      </c>
      <c r="P16" s="183">
        <v>62</v>
      </c>
      <c r="Q16" s="183">
        <v>65</v>
      </c>
      <c r="R16" s="183">
        <v>530</v>
      </c>
      <c r="S16" s="183">
        <v>3713</v>
      </c>
      <c r="T16" s="183">
        <v>2884</v>
      </c>
      <c r="U16" s="183">
        <v>2519</v>
      </c>
      <c r="V16" s="183">
        <v>3959</v>
      </c>
      <c r="W16" s="183">
        <v>297</v>
      </c>
      <c r="X16" s="189">
        <v>1359</v>
      </c>
      <c r="Y16" s="202">
        <v>0</v>
      </c>
      <c r="Z16" s="183">
        <v>0</v>
      </c>
      <c r="AA16" s="183">
        <v>0</v>
      </c>
      <c r="AB16" s="183">
        <v>0</v>
      </c>
      <c r="AC16" s="183">
        <v>2</v>
      </c>
      <c r="AD16" s="183">
        <v>5</v>
      </c>
      <c r="AE16" s="183">
        <v>3</v>
      </c>
      <c r="AF16" s="189">
        <v>4</v>
      </c>
      <c r="AG16" s="202">
        <v>0</v>
      </c>
      <c r="AH16" s="183">
        <v>0</v>
      </c>
      <c r="AI16" s="183">
        <v>0</v>
      </c>
      <c r="AJ16" s="203">
        <v>0</v>
      </c>
      <c r="AK16" s="182">
        <v>1</v>
      </c>
      <c r="AL16" s="183">
        <v>14</v>
      </c>
      <c r="AM16" s="183">
        <v>15</v>
      </c>
      <c r="AN16" s="189">
        <v>0</v>
      </c>
      <c r="AO16" s="259">
        <v>9</v>
      </c>
      <c r="AP16" s="155">
        <v>9</v>
      </c>
      <c r="AQ16" s="155">
        <v>9</v>
      </c>
      <c r="AR16" s="155">
        <v>9</v>
      </c>
      <c r="AS16" s="340" t="s">
        <v>487</v>
      </c>
      <c r="AT16" s="203"/>
      <c r="AU16" s="202"/>
      <c r="AV16" s="203"/>
      <c r="AW16" s="202"/>
      <c r="AX16" s="203"/>
      <c r="AY16" s="126">
        <f t="shared" si="9"/>
        <v>3713</v>
      </c>
      <c r="AZ16" s="127">
        <f t="shared" si="9"/>
        <v>2884</v>
      </c>
      <c r="BA16" s="127">
        <f t="shared" si="9"/>
        <v>2519</v>
      </c>
      <c r="BB16" s="127">
        <f t="shared" si="9"/>
        <v>3959</v>
      </c>
      <c r="BC16" s="125">
        <f>IF(ISNUMBER(W16),W16," - ")</f>
        <v>297</v>
      </c>
      <c r="BD16" s="126">
        <f t="shared" ref="BD16" si="11">IF(ISNUMBER(BA16/AZ16),BA16/AZ16," - ")</f>
        <v>0.87343966712898746</v>
      </c>
      <c r="BE16" s="127">
        <f t="shared" ref="BE16" si="12">IF(ISNUMBER(BB16/BA16),BB16/BA16, " - ")</f>
        <v>1.5716554188169909</v>
      </c>
      <c r="BF16" s="127">
        <f t="shared" ref="BF16" si="13">IF(ISNUMBER(BC16/BA16),BC16/BA16, " - ")</f>
        <v>0.11790393013100436</v>
      </c>
      <c r="BG16" s="196">
        <f t="shared" si="10"/>
        <v>2.6188963874553393</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459</v>
      </c>
      <c r="J17" s="183">
        <v>228</v>
      </c>
      <c r="K17" s="183">
        <v>227</v>
      </c>
      <c r="L17" s="183">
        <v>460</v>
      </c>
      <c r="M17" s="183">
        <v>9</v>
      </c>
      <c r="N17" s="183">
        <v>208</v>
      </c>
      <c r="O17" s="183">
        <v>0</v>
      </c>
      <c r="P17" s="183">
        <v>2</v>
      </c>
      <c r="Q17" s="183">
        <v>0</v>
      </c>
      <c r="R17" s="183">
        <v>2</v>
      </c>
      <c r="S17" s="183">
        <v>358</v>
      </c>
      <c r="T17" s="183">
        <v>196</v>
      </c>
      <c r="U17" s="183">
        <v>150</v>
      </c>
      <c r="V17" s="183">
        <v>405</v>
      </c>
      <c r="W17" s="183">
        <v>3</v>
      </c>
      <c r="X17" s="189">
        <v>52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358</v>
      </c>
      <c r="AZ17" s="129">
        <f t="shared" si="14"/>
        <v>196</v>
      </c>
      <c r="BA17" s="129">
        <f t="shared" si="14"/>
        <v>150</v>
      </c>
      <c r="BB17" s="129">
        <f t="shared" si="14"/>
        <v>405</v>
      </c>
      <c r="BC17" s="125">
        <f>IF(ISNUMBER(W17),W17," - ")</f>
        <v>3</v>
      </c>
      <c r="BD17" s="126">
        <f>IF(ISNUMBER(BA17/AZ17),BA17/AZ17," - ")</f>
        <v>0.76530612244897955</v>
      </c>
      <c r="BE17" s="127">
        <f>IF(ISNUMBER(BB17/BA17),BB17/BA17, " - ")</f>
        <v>2.7</v>
      </c>
      <c r="BF17" s="127">
        <f>IF(ISNUMBER(BC17/BA17),BC17/BA17, " - ")</f>
        <v>0.02</v>
      </c>
      <c r="BG17" s="196">
        <f>IF(ISNUMBER((AY17+AZ17)/BA17),(AY17+AZ17)/BA17," - ")</f>
        <v>3.6933333333333334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5263</v>
      </c>
      <c r="J18" s="184">
        <f t="shared" si="15"/>
        <v>3052</v>
      </c>
      <c r="K18" s="184">
        <f t="shared" si="15"/>
        <v>3056</v>
      </c>
      <c r="L18" s="184">
        <f t="shared" si="15"/>
        <v>5266</v>
      </c>
      <c r="M18" s="184">
        <f t="shared" si="15"/>
        <v>376</v>
      </c>
      <c r="N18" s="184">
        <f t="shared" si="15"/>
        <v>1745</v>
      </c>
      <c r="O18" s="184">
        <f t="shared" si="15"/>
        <v>16</v>
      </c>
      <c r="P18" s="184">
        <f t="shared" si="15"/>
        <v>64</v>
      </c>
      <c r="Q18" s="184">
        <f t="shared" si="15"/>
        <v>65</v>
      </c>
      <c r="R18" s="184">
        <f t="shared" si="15"/>
        <v>532</v>
      </c>
      <c r="S18" s="184">
        <f t="shared" si="15"/>
        <v>4071</v>
      </c>
      <c r="T18" s="184">
        <f t="shared" si="15"/>
        <v>3080</v>
      </c>
      <c r="U18" s="184">
        <f t="shared" si="15"/>
        <v>2669</v>
      </c>
      <c r="V18" s="184">
        <f t="shared" si="15"/>
        <v>4364</v>
      </c>
      <c r="W18" s="184">
        <f t="shared" si="15"/>
        <v>300</v>
      </c>
      <c r="X18" s="184">
        <f t="shared" si="15"/>
        <v>1411</v>
      </c>
      <c r="Y18" s="184">
        <f t="shared" si="15"/>
        <v>0</v>
      </c>
      <c r="Z18" s="184">
        <f t="shared" si="15"/>
        <v>0</v>
      </c>
      <c r="AA18" s="184">
        <f t="shared" si="15"/>
        <v>0</v>
      </c>
      <c r="AB18" s="184">
        <f t="shared" si="15"/>
        <v>0</v>
      </c>
      <c r="AC18" s="184">
        <f t="shared" si="15"/>
        <v>2</v>
      </c>
      <c r="AD18" s="184">
        <f t="shared" si="15"/>
        <v>5</v>
      </c>
      <c r="AE18" s="184">
        <f t="shared" si="15"/>
        <v>3</v>
      </c>
      <c r="AF18" s="184">
        <f t="shared" si="15"/>
        <v>4</v>
      </c>
      <c r="AG18" s="184">
        <f t="shared" si="15"/>
        <v>0</v>
      </c>
      <c r="AH18" s="184">
        <f t="shared" si="15"/>
        <v>0</v>
      </c>
      <c r="AI18" s="184">
        <f t="shared" si="15"/>
        <v>0</v>
      </c>
      <c r="AJ18" s="184">
        <f t="shared" si="15"/>
        <v>0</v>
      </c>
      <c r="AK18" s="184">
        <f t="shared" si="15"/>
        <v>1</v>
      </c>
      <c r="AL18" s="184">
        <f t="shared" si="15"/>
        <v>14</v>
      </c>
      <c r="AM18" s="184">
        <f t="shared" si="15"/>
        <v>15</v>
      </c>
      <c r="AN18" s="184">
        <f t="shared" si="15"/>
        <v>0</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4071</v>
      </c>
      <c r="AZ18" s="184">
        <f>SUBTOTAL(9,AZ14:AZ17)</f>
        <v>3080</v>
      </c>
      <c r="BA18" s="184">
        <f>SUBTOTAL(9,BA14:BA17)</f>
        <v>2669</v>
      </c>
      <c r="BB18" s="184">
        <f>SUBTOTAL(9,BB14:BB17)</f>
        <v>4364</v>
      </c>
      <c r="BC18" s="184">
        <f>SUBTOTAL(9,BC14:BC17)</f>
        <v>300</v>
      </c>
      <c r="BD18" s="205">
        <f>IF(ISNUMBER(BA18/AZ18),BA18/AZ18," - ")</f>
        <v>0.86655844155844153</v>
      </c>
      <c r="BE18" s="206">
        <f>IF(ISNUMBER(BB18/BA18),BB18/BA18, " - ")</f>
        <v>1.6350693143499437</v>
      </c>
      <c r="BF18" s="206">
        <f>IF(ISNUMBER(BC18/BA18),BC18/BA18, " - ")</f>
        <v>0.11240164855751218</v>
      </c>
      <c r="BG18" s="207">
        <f>IF(ISNUMBER((AY18+AZ18)/BA18),(AY18+AZ18)/BA18," - ")</f>
        <v>2.6792806294492317</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17194</v>
      </c>
      <c r="J19" s="134">
        <f t="shared" si="18"/>
        <v>4799</v>
      </c>
      <c r="K19" s="134">
        <f t="shared" si="18"/>
        <v>5422</v>
      </c>
      <c r="L19" s="134">
        <f t="shared" si="18"/>
        <v>16685</v>
      </c>
      <c r="M19" s="134">
        <f t="shared" si="18"/>
        <v>829</v>
      </c>
      <c r="N19" s="134">
        <f t="shared" si="18"/>
        <v>2748</v>
      </c>
      <c r="O19" s="134">
        <f t="shared" si="18"/>
        <v>999</v>
      </c>
      <c r="P19" s="134">
        <f t="shared" si="18"/>
        <v>816</v>
      </c>
      <c r="Q19" s="134">
        <f t="shared" si="18"/>
        <v>650</v>
      </c>
      <c r="R19" s="134">
        <f t="shared" si="18"/>
        <v>12439</v>
      </c>
      <c r="S19" s="134">
        <f t="shared" si="18"/>
        <v>13979</v>
      </c>
      <c r="T19" s="134">
        <f t="shared" si="18"/>
        <v>5121</v>
      </c>
      <c r="U19" s="134">
        <f t="shared" si="18"/>
        <v>4733</v>
      </c>
      <c r="V19" s="134">
        <f t="shared" si="18"/>
        <v>14493</v>
      </c>
      <c r="W19" s="134">
        <f t="shared" si="18"/>
        <v>827</v>
      </c>
      <c r="X19" s="134">
        <f t="shared" si="18"/>
        <v>2329</v>
      </c>
      <c r="Y19" s="134">
        <f t="shared" si="18"/>
        <v>232</v>
      </c>
      <c r="Z19" s="134">
        <f t="shared" si="18"/>
        <v>110</v>
      </c>
      <c r="AA19" s="134">
        <f t="shared" si="18"/>
        <v>82</v>
      </c>
      <c r="AB19" s="134">
        <f t="shared" si="18"/>
        <v>260</v>
      </c>
      <c r="AC19" s="134">
        <f t="shared" si="18"/>
        <v>2</v>
      </c>
      <c r="AD19" s="134">
        <f t="shared" si="18"/>
        <v>5</v>
      </c>
      <c r="AE19" s="134">
        <f t="shared" si="18"/>
        <v>3</v>
      </c>
      <c r="AF19" s="134">
        <f t="shared" si="18"/>
        <v>4</v>
      </c>
      <c r="AG19" s="134">
        <f t="shared" si="18"/>
        <v>248</v>
      </c>
      <c r="AH19" s="134">
        <f t="shared" si="18"/>
        <v>86</v>
      </c>
      <c r="AI19" s="134">
        <f t="shared" si="18"/>
        <v>102</v>
      </c>
      <c r="AJ19" s="134">
        <f t="shared" si="18"/>
        <v>240</v>
      </c>
      <c r="AK19" s="134">
        <f t="shared" si="18"/>
        <v>1</v>
      </c>
      <c r="AL19" s="134">
        <f t="shared" si="18"/>
        <v>14</v>
      </c>
      <c r="AM19" s="134">
        <f t="shared" si="18"/>
        <v>15</v>
      </c>
      <c r="AN19" s="210">
        <f t="shared" si="18"/>
        <v>0</v>
      </c>
      <c r="AO19" s="211">
        <v>10</v>
      </c>
      <c r="AP19" s="211">
        <v>9</v>
      </c>
      <c r="AQ19" s="211">
        <v>9</v>
      </c>
      <c r="AR19" s="211">
        <v>9</v>
      </c>
      <c r="AS19" s="153">
        <f t="shared" si="18"/>
        <v>0</v>
      </c>
      <c r="AT19" s="153">
        <f t="shared" si="18"/>
        <v>0</v>
      </c>
      <c r="AU19" s="211"/>
      <c r="AV19" s="212"/>
      <c r="AW19" s="211"/>
      <c r="AX19" s="212"/>
      <c r="AY19" s="133">
        <f>SUBTOTAL(9,AY9:AY18)</f>
        <v>14227</v>
      </c>
      <c r="AZ19" s="134">
        <f>SUBTOTAL(9,AZ9:AZ18)</f>
        <v>5207</v>
      </c>
      <c r="BA19" s="134">
        <f>SUBTOTAL(9,BA9:BA18)</f>
        <v>4835</v>
      </c>
      <c r="BB19" s="134">
        <f>SUBTOTAL(9,BB9:BB18)</f>
        <v>14733</v>
      </c>
      <c r="BC19" s="135">
        <f>SUBTOTAL(9,BC9:BC18)</f>
        <v>1222</v>
      </c>
      <c r="BD19" s="213">
        <f>IF(ISNUMBER(BA19/AZ19),BA19/AZ19," - ")</f>
        <v>0.9285577107739581</v>
      </c>
      <c r="BE19" s="210">
        <f>IF(ISNUMBER(BB19/BA19),BB19/BA19, " - ")</f>
        <v>3.0471561530506723</v>
      </c>
      <c r="BF19" s="210">
        <f>IF(ISNUMBER(BC19/BA19),BC19/BA19, " - ")</f>
        <v>0.25274043433298865</v>
      </c>
      <c r="BG19" s="135">
        <f>IF(ISNUMBER((AY19+AZ19)/BA19),(AY19+AZ19)/BA19," - ")</f>
        <v>4.0194415718717682</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rx9cwy9JKlRu2QDhtloXLoNwbiuayAVHFj29n8vLJvKKsRtUmC4jfiCcHozAqWqf/oFqVThh69bRSMLPSAU4w==" saltValue="1bfuXDzeY624oVc/TR48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R1hlpzn9d/lZ0esve5QaZsWP1zqzV56vtjPG5uYGT/5V1jr3NaY6YPlFJah8X3PTTV5htz9pcqMVjf/0PONpw==" saltValue="NhjEEkAQSkwFFE1P6ak/s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VILANOVA I LA GELTRU</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240</v>
      </c>
      <c r="G10" s="333">
        <f>IF(ISNUMBER(Datos!I10),Datos!I10," - ")</f>
        <v>240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3</v>
      </c>
      <c r="AD10" s="334"/>
      <c r="AE10" s="484"/>
      <c r="AF10" s="332">
        <f>IF(ISNUMBER(Datos!L10),Datos!L10,"-")</f>
        <v>257</v>
      </c>
      <c r="AG10" s="334"/>
      <c r="AH10" s="334"/>
      <c r="AI10" s="334"/>
      <c r="AJ10" s="334"/>
      <c r="AK10" s="334"/>
      <c r="AL10" s="479"/>
      <c r="AM10" s="335">
        <f>IF(ISNUMBER(Datos!R10),Datos!R10," - ")</f>
        <v>45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13</v>
      </c>
      <c r="BE10" s="229" t="str">
        <f>IF(ISNUMBER(Datos!BW10),Datos!BW10," - ")</f>
        <v xml:space="preserve"> - </v>
      </c>
      <c r="BF10" s="228" t="str">
        <f>IF(ISNUMBER(Datos!BX10),Datos!BX10," - ")</f>
        <v xml:space="preserve"> - </v>
      </c>
      <c r="BG10" s="243">
        <f>IF(ISNUMBER(Datos!K10/Datos!J10),Datos!K10/Datos!J10," - ")</f>
        <v>0.51428571428571423</v>
      </c>
      <c r="BH10" s="260">
        <f>IF(ISNUMBER(((Datos!L10/Datos!K10)*11)/factor_trimestre),((Datos!L10/Datos!K10)*11)/factor_trimestre," - ")</f>
        <v>42.833333333333343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-2.1739130434782608E-2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110</v>
      </c>
      <c r="O12" s="334"/>
      <c r="P12" s="334"/>
      <c r="Q12" s="226">
        <f>IF(ISNUMBER(Datos!P12),Datos!P12,0)</f>
        <v>750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582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260</v>
      </c>
      <c r="AI12" s="334" t="str">
        <f>IF(ISNUMBER(Datos!CD12),Datos!CD12,"-")</f>
        <v>-</v>
      </c>
      <c r="AJ12" s="334" t="str">
        <f>IF(ISNUMBER(Datos!EN12),Datos!EN12," - ")</f>
        <v xml:space="preserve"> - </v>
      </c>
      <c r="AK12" s="334"/>
      <c r="AL12" s="479"/>
      <c r="AM12" s="335">
        <f>IF(ISNUMBER(Datos!R12),Datos!R12," - ")</f>
        <v>11862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451</v>
      </c>
      <c r="BD12" s="229">
        <f>IF(ISNUMBER(Datos!N12),Datos!N12," - ")</f>
        <v>990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1.3336992316136114</v>
      </c>
      <c r="BH12" s="260">
        <f>IF(ISNUMBER(((IF(J_V="SI",Datos!L12/Datos!K12,(Datos!L12+Datos!AB12)/(Datos!K12+Datos!AA12)))*11)/factor_trimestre),((IF(J_V="SI",Datos!L12/Datos!K12,(Datos!L12+Datos!AB12)/(Datos!K12+Datos!AA12)))*11)/factor_trimestre," - ")</f>
        <v>14.101234567901237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1.4366341713699333E-2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9</v>
      </c>
      <c r="F13" s="898">
        <f t="shared" si="0"/>
        <v>240</v>
      </c>
      <c r="G13" s="898">
        <f t="shared" si="0"/>
        <v>240</v>
      </c>
      <c r="H13" s="899">
        <f t="shared" si="0"/>
        <v>0</v>
      </c>
      <c r="I13" s="898">
        <f t="shared" si="0"/>
        <v>0</v>
      </c>
      <c r="J13" s="867">
        <f t="shared" si="0"/>
        <v>0</v>
      </c>
      <c r="K13" s="867">
        <f t="shared" si="0"/>
        <v>0</v>
      </c>
      <c r="L13" s="899">
        <f t="shared" si="0"/>
        <v>0</v>
      </c>
      <c r="M13" s="899">
        <f t="shared" si="0"/>
        <v>0</v>
      </c>
      <c r="N13" s="899">
        <f t="shared" si="0"/>
        <v>110</v>
      </c>
      <c r="O13" s="900">
        <f t="shared" si="0"/>
        <v>0</v>
      </c>
      <c r="P13" s="900">
        <f t="shared" si="0"/>
        <v>0</v>
      </c>
      <c r="Q13" s="899">
        <f t="shared" si="0"/>
        <v>752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585</v>
      </c>
      <c r="AD13" s="899">
        <f t="shared" si="1"/>
        <v>0</v>
      </c>
      <c r="AE13" s="899">
        <f t="shared" si="1"/>
        <v>0</v>
      </c>
      <c r="AF13" s="899">
        <f t="shared" si="1"/>
        <v>257</v>
      </c>
      <c r="AG13" s="899">
        <f t="shared" si="1"/>
        <v>0</v>
      </c>
      <c r="AH13" s="899">
        <f t="shared" si="1"/>
        <v>260</v>
      </c>
      <c r="AI13" s="899">
        <f t="shared" si="1"/>
        <v>0</v>
      </c>
      <c r="AJ13" s="899">
        <f t="shared" si="1"/>
        <v>0</v>
      </c>
      <c r="AK13" s="899">
        <f t="shared" si="1"/>
        <v>0</v>
      </c>
      <c r="AL13" s="899">
        <f t="shared" si="1"/>
        <v>0</v>
      </c>
      <c r="AM13" s="899">
        <f t="shared" si="1"/>
        <v>11907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453</v>
      </c>
      <c r="BD13" s="899">
        <f t="shared" si="1"/>
        <v>1003</v>
      </c>
      <c r="BE13" s="899">
        <f t="shared" si="1"/>
        <v>0</v>
      </c>
      <c r="BF13" s="899">
        <f t="shared" si="1"/>
        <v>0</v>
      </c>
      <c r="BG13" s="899">
        <f>IF(ISNUMBER(Datos!K13/Datos!J13),Datos!K13/Datos!J13," - ")</f>
        <v>1.3543216943331424</v>
      </c>
      <c r="BH13" s="903">
        <f>IF(ISNUMBER(((Datos!L13/Datos!K13)*11)/factor_trimestre),((Datos!L13/Datos!K13)*11)/factor_trimestre," - ")</f>
        <v>14.478867286559595</v>
      </c>
      <c r="BI13" s="899">
        <f>IF(ISNUMBER('Resol  Asuntos'!D13/NºAsuntos!G13),'Resol  Asuntos'!D13/NºAsuntos!G13," - ")</f>
        <v>0.18504901960784315</v>
      </c>
      <c r="BJ13" s="899" t="str">
        <f>IF(ISNUMBER(Datos!CI13/Datos!CJ13),Datos!CI13/Datos!CJ13," - ")</f>
        <v xml:space="preserve"> - </v>
      </c>
      <c r="BK13" s="899">
        <f>SUBTOTAL(9,BK8:BK12)</f>
        <v>0</v>
      </c>
      <c r="BL13" s="899">
        <f>IF(ISNUMBER((I13-AB13+L13)/(F13)),(I13-AB13+L13)/(F13)," - ")</f>
        <v>-7.4999999999999997E-2</v>
      </c>
      <c r="BM13" s="904">
        <f>SUBTOTAL(9,BM9:BM12)</f>
        <v>-7.3727887210832746E-3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4811</v>
      </c>
      <c r="G16" s="598">
        <f>IF(ISNUMBER(IF(D_I="SI",Datos!I16,Datos!I16+Datos!AC16)),IF(D_I="SI",Datos!I16,Datos!I16+Datos!AC16)," - ")</f>
        <v>4804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2829</v>
      </c>
      <c r="AC16" s="226">
        <f>IF(ISNUMBER(Datos!Q16),Datos!Q16," - ")</f>
        <v>65</v>
      </c>
      <c r="AD16" s="334"/>
      <c r="AE16" s="484"/>
      <c r="AF16" s="596">
        <f>IF(ISNUMBER(IF(D_I="SI",Datos!L16,Datos!L16+Datos!AF16)),IF(D_I="SI",Datos!L16,Datos!L16+Datos!AF16)," - ")</f>
        <v>4806</v>
      </c>
      <c r="AG16" s="334"/>
      <c r="AH16" s="334"/>
      <c r="AI16" s="334"/>
      <c r="AJ16" s="334"/>
      <c r="AK16" s="334"/>
      <c r="AL16" s="479"/>
      <c r="AM16" s="335">
        <f>IF(ISNUMBER(Datos!R16),Datos!R16," - ")</f>
        <v>530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367</v>
      </c>
      <c r="BD16" s="229">
        <f>IF(ISNUMBER(Datos!N16),Datos!N16," - ")</f>
        <v>1537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1.0017705382436262</v>
      </c>
      <c r="BH16" s="260">
        <f>IF(ISNUMBER(((IF(D_I="SI",Datos!L16/Datos!K16,(Datos!L16+Datos!AF16)/(Datos!K16+Datos!AE16)))*11)/factor_trimestre),((IF(D_I="SI",Datos!L16/Datos!K16,(Datos!L16+Datos!AF16)/(Datos!K16+Datos!AE16)))*11)/factor_trimestre," - ")</f>
        <v>5.0965005302226931</v>
      </c>
      <c r="BI16" s="243">
        <f>IF(ISNUMBER('Resol  Asuntos'!D16/NºAsuntos!G16),'Resol  Asuntos'!D16/NºAsuntos!G16," - ")</f>
        <v>0.12972781901732061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459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227</v>
      </c>
      <c r="AC17" s="226">
        <f>IF(ISNUMBER(Datos!Q17),Datos!Q17," - ")</f>
        <v>0</v>
      </c>
      <c r="AD17" s="334"/>
      <c r="AE17" s="484"/>
      <c r="AF17" s="332">
        <f>IF(ISNUMBER(Datos!L17),Datos!L17,"-")</f>
        <v>460</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208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0.99561403508771928</v>
      </c>
      <c r="BH17" s="260">
        <f>IF(ISNUMBER(((IF(D_I="SI",Datos!L17/Datos!K17,(Datos!L17+Datos!AF17)/(Datos!K17+Datos!AE17)))*11)/factor_trimestre),((IF(D_I="SI",Datos!L17/Datos!K17,(Datos!L17+Datos!AF17)/(Datos!K17+Datos!AE17)))*11)/factor_trimestre," - ")</f>
        <v>6.0792951541850231</v>
      </c>
      <c r="BI17" s="243">
        <f>IF(ISNUMBER('Resol  Asuntos'!D17/NºAsuntos!G17),'Resol  Asuntos'!D17/NºAsuntos!G17," - ")</f>
        <v>3.9647577092511016E-2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9</v>
      </c>
      <c r="F18" s="898">
        <f>SUBTOTAL(9,F15:F17)</f>
        <v>4811</v>
      </c>
      <c r="G18" s="898">
        <f>SUBTOTAL(9,G15:G17)</f>
        <v>5263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3056</v>
      </c>
      <c r="AC18" s="899">
        <f t="shared" si="4"/>
        <v>65</v>
      </c>
      <c r="AD18" s="899">
        <f t="shared" si="4"/>
        <v>0</v>
      </c>
      <c r="AE18" s="899">
        <f t="shared" si="4"/>
        <v>0</v>
      </c>
      <c r="AF18" s="899">
        <f t="shared" si="4"/>
        <v>5266</v>
      </c>
      <c r="AG18" s="899">
        <f t="shared" si="4"/>
        <v>0</v>
      </c>
      <c r="AH18" s="899">
        <f t="shared" si="4"/>
        <v>0</v>
      </c>
      <c r="AI18" s="899">
        <f t="shared" si="4"/>
        <v>0</v>
      </c>
      <c r="AJ18" s="899">
        <f t="shared" si="4"/>
        <v>0</v>
      </c>
      <c r="AK18" s="899">
        <f t="shared" si="4"/>
        <v>0</v>
      </c>
      <c r="AL18" s="899">
        <f t="shared" si="4"/>
        <v>0</v>
      </c>
      <c r="AM18" s="899">
        <f t="shared" si="4"/>
        <v>532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376</v>
      </c>
      <c r="BD18" s="899">
        <f t="shared" si="4"/>
        <v>1745</v>
      </c>
      <c r="BE18" s="899">
        <f t="shared" si="4"/>
        <v>0</v>
      </c>
      <c r="BF18" s="899">
        <f t="shared" si="4"/>
        <v>0</v>
      </c>
      <c r="BG18" s="899">
        <f>IF(ISNUMBER(Datos!K18/Datos!J18),Datos!K18/Datos!J18," - ")</f>
        <v>1.0013106159895151</v>
      </c>
      <c r="BH18" s="903">
        <f>IF(ISNUMBER(((Datos!L18/Datos!K18)*11)/factor_trimestre),((Datos!L18/Datos!K18)*11)/factor_trimestre," - ")</f>
        <v>5.1695026178010473</v>
      </c>
      <c r="BI18" s="899">
        <f>SUBTOTAL(9,BI15:BI17)</f>
        <v>0.16937539610983163</v>
      </c>
      <c r="BJ18" s="899">
        <f>SUBTOTAL(9,BJ15:BJ17)</f>
        <v>0</v>
      </c>
      <c r="BK18" s="899">
        <f>SUBTOTAL(9,BK15:BK17)</f>
        <v>0</v>
      </c>
      <c r="BL18" s="899">
        <f>IF(ISNUMBER((I18-AB18+L18)/(F18)),(I18-AB18+L18)/(F18)," - ")</f>
        <v>-0.63521097484930367</v>
      </c>
      <c r="BM18" s="905">
        <f>IF(ISNUMBER((Datos!P18-Datos!Q18)/(Datos!R18-Datos!P18+Datos!Q18)),(Datos!P18-Datos!Q18)/(Datos!R18-Datos!P18+Datos!Q18)," - ")</f>
        <v>-1.876172607879925E-3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18</v>
      </c>
      <c r="F19" s="820">
        <f t="shared" si="6"/>
        <v>5051</v>
      </c>
      <c r="G19" s="820">
        <f t="shared" si="6"/>
        <v>5503</v>
      </c>
      <c r="H19" s="822">
        <f t="shared" si="6"/>
        <v>0</v>
      </c>
      <c r="I19" s="820">
        <f t="shared" si="6"/>
        <v>0</v>
      </c>
      <c r="J19" s="822">
        <f t="shared" si="6"/>
        <v>0</v>
      </c>
      <c r="K19" s="822">
        <f t="shared" si="6"/>
        <v>0</v>
      </c>
      <c r="L19" s="881">
        <f t="shared" si="6"/>
        <v>0</v>
      </c>
      <c r="M19" s="881">
        <f t="shared" si="6"/>
        <v>0</v>
      </c>
      <c r="N19" s="881">
        <f t="shared" si="6"/>
        <v>110</v>
      </c>
      <c r="O19" s="881">
        <f t="shared" si="6"/>
        <v>0</v>
      </c>
      <c r="P19" s="881">
        <f t="shared" si="6"/>
        <v>0</v>
      </c>
      <c r="Q19" s="822">
        <f t="shared" si="6"/>
        <v>816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3074</v>
      </c>
      <c r="AC19" s="821">
        <f t="shared" si="7"/>
        <v>650</v>
      </c>
      <c r="AD19" s="821">
        <f t="shared" si="7"/>
        <v>0</v>
      </c>
      <c r="AE19" s="821">
        <f t="shared" si="7"/>
        <v>0</v>
      </c>
      <c r="AF19" s="828">
        <f t="shared" si="7"/>
        <v>5523</v>
      </c>
      <c r="AG19" s="828">
        <f t="shared" si="7"/>
        <v>0</v>
      </c>
      <c r="AH19" s="828">
        <f t="shared" si="7"/>
        <v>260</v>
      </c>
      <c r="AI19" s="828">
        <f t="shared" si="7"/>
        <v>0</v>
      </c>
      <c r="AJ19" s="821">
        <f t="shared" si="7"/>
        <v>0</v>
      </c>
      <c r="AK19" s="828">
        <f t="shared" si="7"/>
        <v>0</v>
      </c>
      <c r="AL19" s="828">
        <f t="shared" si="7"/>
        <v>0</v>
      </c>
      <c r="AM19" s="828">
        <f t="shared" si="7"/>
        <v>12439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829</v>
      </c>
      <c r="BD19" s="820">
        <f t="shared" si="7"/>
        <v>2748</v>
      </c>
      <c r="BE19" s="820">
        <f t="shared" si="7"/>
        <v>0</v>
      </c>
      <c r="BF19" s="830">
        <f t="shared" si="7"/>
        <v>0</v>
      </c>
      <c r="BG19" s="915">
        <f>IF(ISNUMBER(Datos!K19/Datos!J19),Datos!K19/Datos!J19," - ")</f>
        <v>1.1298187122317149</v>
      </c>
      <c r="BH19" s="915">
        <f>IF(ISNUMBER(((Datos!L19/Datos!K19)*11)/factor_trimestre),((Datos!L19/Datos!K19)*11)/factor_trimestre," - ")</f>
        <v>9.2318332718554057</v>
      </c>
      <c r="BI19" s="813">
        <f>IF(ISNUMBER(Datos!J19/Datos!I19),Datos!J19/Datos!I19," - ")</f>
        <v>0.2791089915086658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-0.60859235794892097</v>
      </c>
      <c r="BM19" s="889">
        <f>IF(ISNUMBER((Datos!P19-Datos!Q19+R19)/(Datos!R19-Datos!P19+Datos!Q19-R19)),(Datos!P19-Datos!Q19+R19)/(Datos!R19-Datos!P19+Datos!Q19-R19)," - ")</f>
        <v>1.352562535647356E-2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2201.1999999999998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4.7434164902525691</v>
      </c>
      <c r="F21" s="551">
        <f>IF(ISNUMBER(STDEV(F8:F18)),STDEV(F8:F18),"-")</f>
        <v>2639.0680804657795</v>
      </c>
      <c r="G21" s="552">
        <f>IF(ISNUMBER(STDEV(G8:G18)),STDEV(G8:G18),"-")</f>
        <v>2592.1544514168131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1568.0380416303681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212.88463229333081</v>
      </c>
      <c r="BD21" s="551"/>
      <c r="BE21" s="551">
        <f>IF(ISNUMBER(STDEV(BE8:BE18)),STDEV(BE8:BE18),"-")</f>
        <v>0</v>
      </c>
      <c r="BF21" s="556">
        <f>IF(ISNUMBER(STDEV(BF8:BF18)),STDEV(BF8:BF18),"-")</f>
        <v>0</v>
      </c>
      <c r="BG21" s="775">
        <f>IF(ISNUMBER(STDEV(BG8:BG18)),STDEV(BG8:BG18),"-")</f>
        <v>0.30532208378336717</v>
      </c>
      <c r="BH21" s="776">
        <f>IF(ISNUMBER(STDEV(BH8:BH18)),STDEV(BH8:BH18),"-")</f>
        <v>14.486086745094685</v>
      </c>
      <c r="BI21" s="249">
        <f>IF(ISNUMBER(STDEV(BI8:BI18)),STDEV(BI8:BI18),"-")</f>
        <v>6.5168604772162075E-2</v>
      </c>
      <c r="BJ21" s="230" t="str">
        <f>IF(ISNUMBER(BL21/BM21),BL21/BM21," - ")</f>
        <v xml:space="preserve"> - </v>
      </c>
      <c r="BK21" s="575"/>
      <c r="BL21" s="559">
        <f>IF(ISNUMBER(STDEV(BL8:BL18)),STDEV(BL8:BL18),"-")</f>
        <v>0.39612897921106904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6f62/5T5Zu1cYaLaswRgCQiSklcLa0s9tixBJfIPFj7kjD17+UfGCoWBbvsiGWjvpBiNAOwEGQcJg78c0DuxMQ==" saltValue="I22kcyrF0TcT1Yg870GG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VILANOVA I LA GELTRU</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240</v>
      </c>
      <c r="G10" s="225">
        <f>IF(ISNUMBER(Datos!I10),Datos!I10," - ")</f>
        <v>240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3</v>
      </c>
      <c r="AA10" s="332">
        <f>IF(ISNUMBER(Datos!L10),Datos!L10,"-")</f>
        <v>257</v>
      </c>
      <c r="AB10" s="334"/>
      <c r="AC10" s="334"/>
      <c r="AD10" s="484"/>
      <c r="AE10" s="484">
        <f>IF(ISNUMBER(Datos!R10),Datos!R10," - ")</f>
        <v>45</v>
      </c>
      <c r="AF10" s="229" t="str">
        <f>IF(ISNUMBER(Datos!BV10),Datos!BV10," - ")</f>
        <v xml:space="preserve"> - </v>
      </c>
      <c r="AG10" s="225" t="str">
        <f>IF(ISNUMBER(Datos!DV10),Datos!DV10," - ")</f>
        <v xml:space="preserve"> - </v>
      </c>
      <c r="AH10" s="298"/>
      <c r="AI10" s="227"/>
      <c r="AJ10" s="225">
        <f>IF(ISNUMBER(Datos!M10),Datos!M10," - ")</f>
        <v>2</v>
      </c>
      <c r="AK10" s="229">
        <f>IF(ISNUMBER(Datos!N10),Datos!N10," - ")</f>
        <v>13</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42.833333333333343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-2.1739130434782608E-2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582</v>
      </c>
      <c r="AA12" s="332" t="str">
        <f>IF(ISNUMBER(IF(J_V="SI",Datos!L12,Datos!L12+Datos!AB12)-IF(Monitorios="SI",Datos!CD12,0)),
                          IF(J_V="SI",Datos!L12,Datos!L12+Datos!AB12)-IF(Monitorios="SI",Datos!CD12,0),
                          " - ")</f>
        <v xml:space="preserve"> - </v>
      </c>
      <c r="AB12" s="334"/>
      <c r="AC12" s="334"/>
      <c r="AD12" s="484"/>
      <c r="AE12" s="484">
        <f>IF(ISNUMBER(Datos!R12),Datos!R12," - ")</f>
        <v>11862</v>
      </c>
      <c r="AF12" s="229" t="str">
        <f>IF(ISNUMBER(Datos!BV12),Datos!BV12," - ")</f>
        <v xml:space="preserve"> - </v>
      </c>
      <c r="AG12" s="225" t="str">
        <f>IF(ISNUMBER(Datos!DV12),Datos!DV12," - ")</f>
        <v xml:space="preserve"> - </v>
      </c>
      <c r="AH12" s="298"/>
      <c r="AI12" s="227"/>
      <c r="AJ12" s="225">
        <f>IF(ISNUMBER(Datos!M12),Datos!M12," - ")</f>
        <v>451</v>
      </c>
      <c r="AK12" s="229">
        <f>IF(ISNUMBER(Datos!N12),Datos!N12," - ")</f>
        <v>990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14.101234567901237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1.4366341713699333E-2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9</v>
      </c>
      <c r="F13" s="898">
        <f>SUBTOTAL(9,F8:F12)</f>
        <v>240</v>
      </c>
      <c r="G13" s="898">
        <f>SUBTOTAL(9,G8:G12)</f>
        <v>240</v>
      </c>
      <c r="H13" s="908"/>
      <c r="I13" s="898">
        <f t="shared" ref="I13:N13" si="0">SUBTOTAL(9,I8:I12)</f>
        <v>0</v>
      </c>
      <c r="J13" s="867">
        <f t="shared" si="0"/>
        <v>0</v>
      </c>
      <c r="K13" s="908">
        <f t="shared" si="0"/>
        <v>0</v>
      </c>
      <c r="L13" s="908">
        <f t="shared" si="0"/>
        <v>0</v>
      </c>
      <c r="M13" s="908">
        <f t="shared" si="0"/>
        <v>0</v>
      </c>
      <c r="N13" s="908">
        <f t="shared" si="0"/>
        <v>752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585</v>
      </c>
      <c r="AA13" s="900">
        <f t="shared" si="2"/>
        <v>257</v>
      </c>
      <c r="AB13" s="900">
        <f t="shared" si="2"/>
        <v>0</v>
      </c>
      <c r="AC13" s="900">
        <f t="shared" si="2"/>
        <v>0</v>
      </c>
      <c r="AD13" s="900">
        <f t="shared" si="2"/>
        <v>0</v>
      </c>
      <c r="AE13" s="900">
        <f t="shared" si="2"/>
        <v>11907</v>
      </c>
      <c r="AF13" s="908">
        <f t="shared" si="2"/>
        <v>0</v>
      </c>
      <c r="AG13" s="908">
        <f t="shared" si="2"/>
        <v>0</v>
      </c>
      <c r="AH13" s="908">
        <f t="shared" si="2"/>
        <v>0</v>
      </c>
      <c r="AI13" s="908">
        <f t="shared" si="2"/>
        <v>0</v>
      </c>
      <c r="AJ13" s="908">
        <f t="shared" si="2"/>
        <v>453</v>
      </c>
      <c r="AK13" s="908">
        <f t="shared" si="2"/>
        <v>1003</v>
      </c>
      <c r="AL13" s="908">
        <f t="shared" si="2"/>
        <v>0</v>
      </c>
      <c r="AM13" s="908">
        <f t="shared" si="2"/>
        <v>0</v>
      </c>
      <c r="AN13" s="908">
        <f t="shared" si="2"/>
        <v>0</v>
      </c>
      <c r="AO13" s="904">
        <f>IF(ISNUMBER(((NºAsuntos!I13/NºAsuntos!G13)*11)/factor_trimestre),((NºAsuntos!I13/NºAsuntos!G13)*11)/factor_trimestre," - ")</f>
        <v>14.3125</v>
      </c>
      <c r="AP13" s="910" t="str">
        <f>IF(ISNUMBER(Datos!CI13/Datos!CJ13),Datos!CI13/Datos!CJ13," - ")</f>
        <v xml:space="preserve"> - </v>
      </c>
      <c r="AQ13" s="928">
        <f t="shared" ref="AQ13:AV13" si="3">SUBTOTAL(9,AQ9:AQ12)</f>
        <v>0</v>
      </c>
      <c r="AR13" s="928">
        <f t="shared" si="3"/>
        <v>-7.3727887210832746E-3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9</v>
      </c>
      <c r="B16" s="507" t="s">
        <v>396</v>
      </c>
      <c r="C16" s="160" t="str">
        <f>Datos!A16</f>
        <v xml:space="preserve">Jdos. 1ª Instª. e Instr.                        </v>
      </c>
      <c r="D16" s="502"/>
      <c r="E16" s="1168">
        <f>IF(ISNUMBER(Datos!AQ16),Datos!AQ16," - ")</f>
        <v>9</v>
      </c>
      <c r="F16" s="333">
        <f>IF(ISNUMBER(AA16+Y16-Datos!J16-K15),AA16+Y16-Datos!J16-K15," - ")</f>
        <v>4811</v>
      </c>
      <c r="G16" s="225">
        <f>IF(ISNUMBER(IF(D_I="SI",Datos!I16,Datos!I16+Datos!AC16)),IF(D_I="SI",Datos!I16,Datos!I16+Datos!AC16)," - ")</f>
        <v>4804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2829</v>
      </c>
      <c r="Z16" s="619">
        <f>IF(ISNUMBER(Datos!Q16),Datos!Q16," - ")</f>
        <v>65</v>
      </c>
      <c r="AA16" s="332">
        <f>IF(ISNUMBER(IF(D_I="SI",Datos!L16,Datos!L16+Datos!AF16)),IF(D_I="SI",Datos!L16,Datos!L16+Datos!AF16)," - ")</f>
        <v>4806</v>
      </c>
      <c r="AB16" s="334"/>
      <c r="AC16" s="334"/>
      <c r="AD16" s="484"/>
      <c r="AE16" s="484">
        <f>IF(ISNUMBER(Datos!R16),Datos!R16," - ")</f>
        <v>530</v>
      </c>
      <c r="AF16" s="229" t="str">
        <f>IF(ISNUMBER(Datos!BV16),Datos!BV16," - ")</f>
        <v xml:space="preserve"> - </v>
      </c>
      <c r="AG16" s="225"/>
      <c r="AH16" s="298"/>
      <c r="AI16" s="227"/>
      <c r="AJ16" s="225">
        <f>IF(ISNUMBER(Datos!M16),Datos!M16," - ")</f>
        <v>367</v>
      </c>
      <c r="AK16" s="229">
        <f>IF(ISNUMBER(Datos!N16),Datos!N16," - ")</f>
        <v>1537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5.0965005302226931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459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227</v>
      </c>
      <c r="Z17" s="619">
        <f>IF(ISNUMBER(Datos!Q17),Datos!Q17," - ")</f>
        <v>0</v>
      </c>
      <c r="AA17" s="332">
        <f>IF(ISNUMBER(Datos!L17),Datos!L17,"-")</f>
        <v>460</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9</v>
      </c>
      <c r="AK17" s="229">
        <f>IF(ISNUMBER(Datos!N17),Datos!N17," - ")</f>
        <v>208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6.0792951541850231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9</v>
      </c>
      <c r="F18" s="898">
        <f>SUBTOTAL(9,F15:F17)</f>
        <v>4811</v>
      </c>
      <c r="G18" s="898">
        <f>SUBTOTAL(9,G15:G17)</f>
        <v>5263</v>
      </c>
      <c r="H18" s="932">
        <f>SUBTOTAL(9,H15:H17)</f>
        <v>0</v>
      </c>
      <c r="I18" s="911">
        <f>SUBTOTAL(9,I15:I17)</f>
        <v>0</v>
      </c>
      <c r="J18" s="867">
        <f>SUBTOTAL(9,J14:J17)</f>
        <v>0</v>
      </c>
      <c r="K18" s="932">
        <f t="shared" ref="K18:S18" si="4">SUBTOTAL(9,K15:K17)</f>
        <v>0</v>
      </c>
      <c r="L18" s="932">
        <f t="shared" si="4"/>
        <v>0</v>
      </c>
      <c r="M18" s="932">
        <f t="shared" si="4"/>
        <v>0</v>
      </c>
      <c r="N18" s="932">
        <f t="shared" si="4"/>
        <v>64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3056</v>
      </c>
      <c r="Z18" s="932">
        <f t="shared" si="5"/>
        <v>65</v>
      </c>
      <c r="AA18" s="932">
        <f t="shared" si="5"/>
        <v>5266</v>
      </c>
      <c r="AB18" s="932">
        <f t="shared" si="5"/>
        <v>0</v>
      </c>
      <c r="AC18" s="932">
        <f t="shared" si="5"/>
        <v>0</v>
      </c>
      <c r="AD18" s="932">
        <f t="shared" si="5"/>
        <v>0</v>
      </c>
      <c r="AE18" s="932">
        <f t="shared" si="5"/>
        <v>532</v>
      </c>
      <c r="AF18" s="932">
        <f t="shared" si="5"/>
        <v>0</v>
      </c>
      <c r="AG18" s="932">
        <f t="shared" si="5"/>
        <v>0</v>
      </c>
      <c r="AH18" s="932">
        <f t="shared" si="5"/>
        <v>0</v>
      </c>
      <c r="AI18" s="932">
        <f t="shared" si="5"/>
        <v>0</v>
      </c>
      <c r="AJ18" s="932">
        <f t="shared" si="5"/>
        <v>376</v>
      </c>
      <c r="AK18" s="932">
        <f t="shared" si="5"/>
        <v>1745</v>
      </c>
      <c r="AL18" s="932">
        <f t="shared" si="5"/>
        <v>0</v>
      </c>
      <c r="AM18" s="932">
        <f t="shared" si="5"/>
        <v>0</v>
      </c>
      <c r="AN18" s="932">
        <f t="shared" si="5"/>
        <v>0</v>
      </c>
      <c r="AO18" s="934">
        <f>IF(ISNUMBER(((NºAsuntos!I18/NºAsuntos!G18)*11)/factor_trimestre),((NºAsuntos!I18/NºAsuntos!G18)*11)/factor_trimestre," - ")</f>
        <v>5.1695026178010473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18</v>
      </c>
      <c r="F19" s="820">
        <f t="shared" si="7"/>
        <v>5051</v>
      </c>
      <c r="G19" s="820">
        <f t="shared" si="7"/>
        <v>5503</v>
      </c>
      <c r="H19" s="821">
        <f t="shared" si="7"/>
        <v>0</v>
      </c>
      <c r="I19" s="820">
        <f t="shared" si="7"/>
        <v>0</v>
      </c>
      <c r="J19" s="822">
        <f t="shared" si="7"/>
        <v>0</v>
      </c>
      <c r="K19" s="820">
        <f t="shared" si="7"/>
        <v>0</v>
      </c>
      <c r="L19" s="823">
        <f t="shared" si="7"/>
        <v>0</v>
      </c>
      <c r="M19" s="820">
        <f t="shared" si="7"/>
        <v>0</v>
      </c>
      <c r="N19" s="821">
        <f t="shared" si="7"/>
        <v>816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3074</v>
      </c>
      <c r="Z19" s="827">
        <f t="shared" si="8"/>
        <v>650</v>
      </c>
      <c r="AA19" s="828">
        <f t="shared" si="8"/>
        <v>5523</v>
      </c>
      <c r="AB19" s="828">
        <f t="shared" si="8"/>
        <v>0</v>
      </c>
      <c r="AC19" s="828">
        <f t="shared" si="8"/>
        <v>0</v>
      </c>
      <c r="AD19" s="829">
        <f t="shared" si="8"/>
        <v>0</v>
      </c>
      <c r="AE19" s="829">
        <f t="shared" si="8"/>
        <v>12439</v>
      </c>
      <c r="AF19" s="830">
        <f t="shared" si="8"/>
        <v>0</v>
      </c>
      <c r="AG19" s="831">
        <f t="shared" si="8"/>
        <v>0</v>
      </c>
      <c r="AH19" s="832">
        <f t="shared" si="8"/>
        <v>0</v>
      </c>
      <c r="AI19" s="830">
        <f t="shared" si="8"/>
        <v>0</v>
      </c>
      <c r="AJ19" s="820">
        <f t="shared" si="8"/>
        <v>829</v>
      </c>
      <c r="AK19" s="820">
        <f t="shared" si="8"/>
        <v>2748</v>
      </c>
      <c r="AL19" s="820">
        <f t="shared" si="8"/>
        <v>0</v>
      </c>
      <c r="AM19" s="833">
        <f t="shared" si="8"/>
        <v>0</v>
      </c>
      <c r="AN19" s="823">
        <f>IF(ISNUMBER(Datos!K19/Datos!J19),Datos!K19/Datos!J19," - ")</f>
        <v>1.1298187122317149</v>
      </c>
      <c r="AO19" s="823">
        <f>IF(ISNUMBER(FIND("06",Criterios!A8,1)),(IF(ISNUMBER(((Datos!R19/Datos!Q19)*11)/factor_trimestre),((Datos!R19/Datos!Q19)*11)/factor_trimestre," - ")),(IF(ISNUMBER(((Datos!L19/Datos!K19)*11)/factor_trimestre),((Datos!L19/Datos!K19)*11)/factor_trimestre," - ")))</f>
        <v>9.2318332718554057</v>
      </c>
      <c r="AP19" s="834" t="str">
        <f>IF(ISNUMBER(Datos!CI19/Datos!CJ19),Datos!CI19/Datos!CJ19," - ")</f>
        <v xml:space="preserve"> - </v>
      </c>
      <c r="AQ19" s="834">
        <f>IF(OR(ISNUMBER(FIND("01",Criterios!A8,1)),ISNUMBER(FIND("02",Criterios!A8,1)),ISNUMBER(FIND("03",Criterios!A8,1)),ISNUMBER(FIND("04",Criterios!A8,1))),(J19-Y19+K19)/(F19-K19),(I19-Y19+K19)/(F19-K19))</f>
        <v>-0.60859235794892097</v>
      </c>
      <c r="AR19" s="834">
        <f>IF(ISNUMBER((Datos!P19-Datos!Q19+O19)/(Datos!R19-Datos!P19+Datos!Q19-O19)),(Datos!P19-Datos!Q19+O19)/(Datos!R19-Datos!P19+Datos!Q19-O19)," - ")</f>
        <v>1.352562535647356E-2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2201.1999999999998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2639.0680804657795</v>
      </c>
      <c r="G21" s="552">
        <f>IF(ISNUMBER(STDEV(G8:G18)),STDEV(G8:G18),"-")</f>
        <v>2592.1544514168131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212.88463229333081</v>
      </c>
      <c r="AK21" s="252"/>
      <c r="AL21" s="252">
        <f>IF(ISNUMBER(STDEV(AL8:AL18)),STDEV(AL8:AL18),"-")</f>
        <v>0</v>
      </c>
      <c r="AM21" s="254">
        <f>IF(ISNUMBER(STDEV(AM8:AM18)),STDEV(AM8:AM18),"-")</f>
        <v>0</v>
      </c>
      <c r="AN21" s="539">
        <f>IF(ISNUMBER(STDEV(AN8:AN18)),STDEV(AN8:AN18),"-")</f>
        <v>0</v>
      </c>
      <c r="AO21" s="540">
        <f>IF(ISNUMBER(STDEV(AO8:AO18)),STDEV(AO8:AO18),"-")</f>
        <v>14.48658495796789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yAcYZ0Kysuz2ziRVglhZwWR40h9esN/LfMe6jZnqGvuh/6rwwIAKOTopiEC+RfHcwgvZsFffnFPLPlzxE/2LQ==" saltValue="mncYmHcdXw3XXaAPHKt9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8qnovLOtn3DgQqFu69BcHo4fALtdOuOHIkJsYlWAclX+5RsraQgmWYjsbicniZZbtaRjtfK83f8oTsi9T97w==" saltValue="0XoMls6eUZFdxGTiPkGr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7haeOecuGPhdi0sTMB6vpCsJDZcTEli9ZFFkaINLdbn1AsXlvxZbF7WXlMK1GNdVpbzdd3trIdQKZZdWKcSsA==" saltValue="SgmvbpEhVUeTDe2q36CxZ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VILANOVA I LA GELTRU</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0.18504901960784315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0.1308494166166283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2vWa5/JcGVuMEhdbcgrUv2Qb+xqn55uHNUWuCZrd19AqsnDCJSSbatJN647ooe/0nc8r4gurEmrKvEMcunrhQ==" saltValue="Okh6gURbl0k4WqWT+/I2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L6+U8D9gRFpG1y6tcDUdLTlgLJGft6NR2Bf4xOMjOgBe/ngGu57a8enGRJSxwwxRam4rN7xkUl5Yydk3BuZBA==" saltValue="lgf6mSCIefLO3/3r2OUN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VILANOVA I LA GELTRU</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240</v>
      </c>
      <c r="D10" s="404">
        <f>IF(ISNUMBER(C10/Datos!BH10),C10/Datos!BH10," - ")</f>
        <v>240</v>
      </c>
      <c r="E10" s="403">
        <f>IF(ISNUMBER(Datos!J10),Datos!J10," - ")</f>
        <v>35</v>
      </c>
      <c r="F10" s="404">
        <f>IF(ISNUMBER(E10/B10),E10/B10," - ")</f>
        <v>35</v>
      </c>
      <c r="G10" s="403">
        <f>IF(ISNUMBER(Datos!K10),Datos!K10," - ")</f>
        <v>18</v>
      </c>
      <c r="H10" s="404">
        <f>IF(ISNUMBER(G10/B10),G10/B10," - ")</f>
        <v>18</v>
      </c>
      <c r="I10" s="403">
        <f>IF(ISNUMBER(Datos!L10),Datos!L10," - ")</f>
        <v>257</v>
      </c>
      <c r="J10" s="404">
        <f>IF(ISNUMBER(I10/B10),I10/B10," - ")</f>
        <v>257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9</v>
      </c>
      <c r="C12" s="403">
        <f>IF(ISNUMBER(IF(J_V="SI",Datos!I12,Datos!I12+Datos!Y12)),IF(J_V="SI",Datos!I12,Datos!I12+Datos!Y12)," - ")</f>
        <v>11923</v>
      </c>
      <c r="D12" s="404">
        <f>IF(ISNUMBER(C12/Datos!BH12),C12/Datos!BH12," - ")</f>
        <v>1324.7777777777778</v>
      </c>
      <c r="E12" s="403">
        <f>IF(ISNUMBER(IF(J_V="SI",Datos!J12,Datos!J12+Datos!Z12)),IF(J_V="SI",Datos!J12,Datos!J12+Datos!Z12)," - ")</f>
        <v>1822</v>
      </c>
      <c r="F12" s="404">
        <f>IF(ISNUMBER(E12/B12),E12/B12," - ")</f>
        <v>202.44444444444446</v>
      </c>
      <c r="G12" s="403">
        <f>IF(ISNUMBER(IF(J_V="SI",Datos!K12,Datos!K12+Datos!AA12)),IF(J_V="SI",Datos!K12,Datos!K12+Datos!AA12)," - ")</f>
        <v>2430</v>
      </c>
      <c r="H12" s="404">
        <f>IF(ISNUMBER(G12/B12),G12/B12," - ")</f>
        <v>270</v>
      </c>
      <c r="I12" s="403">
        <f>IF(ISNUMBER(IF(J_V="SI",Datos!L12,Datos!L12+Datos!AB12)),IF(J_V="SI",Datos!L12,Datos!L12+Datos!AB12)," - ")</f>
        <v>11422</v>
      </c>
      <c r="J12" s="404">
        <f>IF(ISNUMBER(I12/B12),I12/B12," - ")</f>
        <v>1269.1111111111111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9</v>
      </c>
      <c r="C13" s="849">
        <f>SUBTOTAL(9,C8:C12)</f>
        <v>12163</v>
      </c>
      <c r="D13" s="850" t="str">
        <f>IF(ISNUMBER(C13/Datos!BI13),C13/Datos!BI13," - ")</f>
        <v xml:space="preserve"> - </v>
      </c>
      <c r="E13" s="849">
        <f>SUBTOTAL(9,E8:E12)</f>
        <v>1857</v>
      </c>
      <c r="F13" s="850">
        <f>IF(ISNUMBER(E13/B13),E13/B13," - ")</f>
        <v>206.33333333333334</v>
      </c>
      <c r="G13" s="849">
        <f>SUBTOTAL(9,G8:G12)</f>
        <v>2448</v>
      </c>
      <c r="H13" s="850">
        <f>IF(ISNUMBER(G13/B13),G13/B13," - ")</f>
        <v>272</v>
      </c>
      <c r="I13" s="849">
        <f>SUBTOTAL(9,I8:I12)</f>
        <v>11679</v>
      </c>
      <c r="J13" s="850">
        <f>IF(ISNUMBER(I13/B13),I13/B13," - ")</f>
        <v>1297.6666666666667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9</v>
      </c>
      <c r="C16" s="403">
        <f>IF(ISNUMBER(IF(D_I="SI",Datos!I16,Datos!I16+Datos!AC16)),IF(D_I="SI",Datos!I16,Datos!I16+Datos!AC16)," - ")</f>
        <v>4804</v>
      </c>
      <c r="D16" s="404">
        <f>IF(ISNUMBER(C16/Datos!BH16),C16/Datos!BH16," - ")</f>
        <v>533.77777777777783</v>
      </c>
      <c r="E16" s="403">
        <f>IF(ISNUMBER(IF(D_I="SI",Datos!J16,Datos!J16+Datos!AD16)),IF(D_I="SI",Datos!J16,Datos!J16+Datos!AD16)," - ")</f>
        <v>2824</v>
      </c>
      <c r="F16" s="404">
        <f>IF(ISNUMBER(E16/B16),E16/B16," - ")</f>
        <v>313.77777777777777</v>
      </c>
      <c r="G16" s="403">
        <f>IF(ISNUMBER(IF(D_I="SI",Datos!K16,Datos!K16+Datos!AE16)),IF(D_I="SI",Datos!K16,Datos!K16+Datos!AE16)," - ")</f>
        <v>2829</v>
      </c>
      <c r="H16" s="404">
        <f>IF(ISNUMBER(G16/B16),G16/B16," - ")</f>
        <v>314.33333333333331</v>
      </c>
      <c r="I16" s="403">
        <f>IF(ISNUMBER(IF(D_I="SI",Datos!L16,Datos!L16+Datos!AF16)),IF(D_I="SI",Datos!L16,Datos!L16+Datos!AF16)," - ")</f>
        <v>4806</v>
      </c>
      <c r="J16" s="404">
        <f>IF(ISNUMBER(I16/B16),I16/B16," - ")</f>
        <v>534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459</v>
      </c>
      <c r="D17" s="404">
        <f>IF(ISNUMBER(C17/Datos!BH17),C17/Datos!BH17," - ")</f>
        <v>459</v>
      </c>
      <c r="E17" s="403">
        <f>IF(ISNUMBER(IF(D_I="SI",Datos!J17,Datos!J17+Datos!AD17)),IF(D_I="SI",Datos!J17,Datos!J17+Datos!AD17)," - ")</f>
        <v>228</v>
      </c>
      <c r="F17" s="404">
        <f>IF(ISNUMBER(E17/B17),E17/B17," - ")</f>
        <v>228</v>
      </c>
      <c r="G17" s="403">
        <f>IF(ISNUMBER(IF(D_I="SI",Datos!K17,Datos!K17+Datos!AE17)),IF(D_I="SI",Datos!K17,Datos!K17+Datos!AE17)," - ")</f>
        <v>227</v>
      </c>
      <c r="H17" s="404">
        <f>IF(ISNUMBER(G17/B17),G17/B17," - ")</f>
        <v>227</v>
      </c>
      <c r="I17" s="403">
        <f>IF(ISNUMBER(IF(D_I="SI",Datos!L17,Datos!L17+Datos!AF17)),IF(D_I="SI",Datos!L17,Datos!L17+Datos!AF17)," - ")</f>
        <v>460</v>
      </c>
      <c r="J17" s="404">
        <f>IF(ISNUMBER(I17/B17),I17/B17," - ")</f>
        <v>460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9</v>
      </c>
      <c r="C18" s="849">
        <f>SUBTOTAL(9,C14:C17)</f>
        <v>5263</v>
      </c>
      <c r="D18" s="850" t="str">
        <f>IF(ISNUMBER(C18/Datos!BI18),C18/Datos!BI18," - ")</f>
        <v xml:space="preserve"> - </v>
      </c>
      <c r="E18" s="849">
        <f>SUBTOTAL(9,E14:E17)</f>
        <v>3052</v>
      </c>
      <c r="F18" s="850">
        <f>IF(ISNUMBER(E18/B18),E18/B18," - ")</f>
        <v>339.11111111111109</v>
      </c>
      <c r="G18" s="849">
        <f>SUBTOTAL(9,G14:G17)</f>
        <v>3056</v>
      </c>
      <c r="H18" s="850">
        <f>IF(ISNUMBER(G18/B18),G18/B18," - ")</f>
        <v>339.55555555555554</v>
      </c>
      <c r="I18" s="849">
        <f>SUBTOTAL(9,I14:I17)</f>
        <v>5266</v>
      </c>
      <c r="J18" s="850">
        <f>IF(ISNUMBER(I18/B18),I18/B18," - ")</f>
        <v>585.11111111111109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9</v>
      </c>
      <c r="C19" s="794">
        <f>SUBTOTAL(9,C9:C18)</f>
        <v>17426</v>
      </c>
      <c r="D19" s="795" t="str">
        <f>IF(ISNUMBER(C19/Datos!BI19),C19/Datos!BI19," - ")</f>
        <v xml:space="preserve"> - </v>
      </c>
      <c r="E19" s="794">
        <f>SUBTOTAL(9,E9:E18)</f>
        <v>4909</v>
      </c>
      <c r="F19" s="795">
        <f>IF(ISNUMBER(E19/B19),E19/B19," - ")</f>
        <v>545.44444444444446</v>
      </c>
      <c r="G19" s="794">
        <f>SUBTOTAL(9,G9:G18)</f>
        <v>5504</v>
      </c>
      <c r="H19" s="795">
        <f>IF(ISNUMBER(G19/B19),G19/B19," - ")</f>
        <v>611.55555555555554</v>
      </c>
      <c r="I19" s="794">
        <f>SUBTOTAL(9,I9:I18)</f>
        <v>16945</v>
      </c>
      <c r="J19" s="795">
        <f>IF(ISNUMBER(I19/B19),I19/B19," - ")</f>
        <v>1882.7777777777778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fGYllDA4VoMNdO9t7WvwWwSB6jWX7k8k6cOIv3bI2HQrh1FieF8XnsaBV3issAsbpKObt40GqPmv/2moRt75g==" saltValue="eE7m9aepcwZn/VHX214Y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VILANOVA I LA GELTRU</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240</v>
      </c>
      <c r="G10" s="684">
        <f>IF(ISNUMBER(Datos!I10),Datos!I10," - ")</f>
        <v>240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257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13</v>
      </c>
      <c r="AN10" s="690">
        <f>IF(ISNUMBER(Datos!BW10+DatosP!BW17),Datos!BW10+DatosP!BW17," - ")</f>
        <v>0</v>
      </c>
      <c r="AO10" s="691">
        <f>IF(ISNUMBER(Datos!BX10+DatosP!BX17),Datos!BX10+DatosP!BX17," - ")</f>
        <v>0</v>
      </c>
      <c r="AP10" s="693">
        <f>IF(ISNUMBER(((Datos!L10/Datos!K10)*11)/factor_trimestre),((Datos!L10/Datos!K10)*11)/factor_trimestre," - ")</f>
        <v>42.833333333333343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582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11862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451</v>
      </c>
      <c r="AM12" s="690">
        <f>IF(ISNUMBER(Datos!N12+DatosP!N16),Datos!N12+DatosP!N16," - ")</f>
        <v>990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14.101234567901237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1.4366341713699333E-2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9</v>
      </c>
      <c r="F13" s="938">
        <f t="shared" si="0"/>
        <v>240</v>
      </c>
      <c r="G13" s="938">
        <f t="shared" si="0"/>
        <v>240</v>
      </c>
      <c r="H13" s="938">
        <f t="shared" si="0"/>
        <v>0</v>
      </c>
      <c r="I13" s="940">
        <f t="shared" si="0"/>
        <v>0</v>
      </c>
      <c r="J13" s="939">
        <f t="shared" si="0"/>
        <v>0</v>
      </c>
      <c r="K13" s="939">
        <f t="shared" si="0"/>
        <v>0</v>
      </c>
      <c r="L13" s="941">
        <f t="shared" si="0"/>
        <v>0</v>
      </c>
      <c r="M13" s="941">
        <f t="shared" si="0"/>
        <v>0</v>
      </c>
      <c r="N13" s="939">
        <f t="shared" si="0"/>
        <v>752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582</v>
      </c>
      <c r="AE13" s="939">
        <f t="shared" si="1"/>
        <v>0</v>
      </c>
      <c r="AF13" s="939">
        <f t="shared" si="1"/>
        <v>257</v>
      </c>
      <c r="AG13" s="939">
        <f t="shared" si="1"/>
        <v>0</v>
      </c>
      <c r="AH13" s="939">
        <f t="shared" si="1"/>
        <v>11862</v>
      </c>
      <c r="AI13" s="939">
        <f t="shared" si="1"/>
        <v>0</v>
      </c>
      <c r="AJ13" s="939">
        <f t="shared" si="1"/>
        <v>0</v>
      </c>
      <c r="AK13" s="939">
        <f t="shared" si="1"/>
        <v>0</v>
      </c>
      <c r="AL13" s="939">
        <f t="shared" si="1"/>
        <v>453</v>
      </c>
      <c r="AM13" s="939">
        <f t="shared" si="1"/>
        <v>1003</v>
      </c>
      <c r="AN13" s="939">
        <f t="shared" si="1"/>
        <v>0</v>
      </c>
      <c r="AO13" s="939">
        <f t="shared" si="1"/>
        <v>0</v>
      </c>
      <c r="AP13" s="944">
        <f>IF(ISNUMBER(((Datos!L13/Datos!K13)*11)/factor_trimestre),((Datos!L13/Datos!K13)*11)/factor_trimestre," - ")</f>
        <v>14.478867286559595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-7.4999999999999997E-2</v>
      </c>
      <c r="AU13" s="939" t="str">
        <f>IF(ISNUMBER((DatosP!#REF!-DatosP!#REF!+DatosP!#REF!)/(DatosP!#REF!+DatosP!#REF!-DatosP!#REF!-DatosP!#REF!)),(DatosP!#REF!-DatosP!#REF!+DatosP!#REF!)/(DatosP!#REF!+DatosP!#REF!-DatosP!#REF!-DatosP!#REF!)," - ")</f>
        <v xml:space="preserve"> - </v>
      </c>
      <c r="AV13" s="945">
        <f>SUBTOTAL(9,AV9:AV12)</f>
        <v>1.4366341713699333E-2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5.1695026178010473</v>
      </c>
      <c r="AQ18" s="944">
        <f>IF(ISNUMBER(((Datos!M18/Datos!L18)*11)/factor_trimestre),((Datos!M18/Datos!L18)*11)/factor_trimestre," - ")</f>
        <v>0.21420432966198255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-1.876172607879925E-3</v>
      </c>
      <c r="AW18" s="946">
        <f>IF(ISNUMBER((Datos!Q18-Datos!R18)/(Datos!S18-Datos!Q18+Datos!R18)),(Datos!Q18-Datos!R18)/(Datos!S18-Datos!Q18+Datos!R18)," - ")</f>
        <v>-0.10290877038342883</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9</v>
      </c>
      <c r="F19" s="951">
        <f t="shared" si="4"/>
        <v>240</v>
      </c>
      <c r="G19" s="951">
        <f t="shared" si="4"/>
        <v>240</v>
      </c>
      <c r="H19" s="951">
        <f t="shared" si="4"/>
        <v>0</v>
      </c>
      <c r="I19" s="952">
        <f t="shared" si="4"/>
        <v>0</v>
      </c>
      <c r="J19" s="953">
        <f t="shared" si="4"/>
        <v>0</v>
      </c>
      <c r="K19" s="953">
        <f t="shared" si="4"/>
        <v>0</v>
      </c>
      <c r="L19" s="953">
        <f t="shared" si="4"/>
        <v>0</v>
      </c>
      <c r="M19" s="953">
        <f t="shared" si="4"/>
        <v>0</v>
      </c>
      <c r="N19" s="952">
        <f t="shared" si="4"/>
        <v>752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582</v>
      </c>
      <c r="AE19" s="957">
        <f t="shared" si="5"/>
        <v>0</v>
      </c>
      <c r="AF19" s="958">
        <f t="shared" si="5"/>
        <v>257</v>
      </c>
      <c r="AG19" s="958">
        <f t="shared" si="5"/>
        <v>0</v>
      </c>
      <c r="AH19" s="958">
        <f t="shared" si="5"/>
        <v>11862</v>
      </c>
      <c r="AI19" s="958">
        <f t="shared" si="5"/>
        <v>0</v>
      </c>
      <c r="AJ19" s="959">
        <f t="shared" si="5"/>
        <v>0</v>
      </c>
      <c r="AK19" s="959">
        <f t="shared" si="5"/>
        <v>0</v>
      </c>
      <c r="AL19" s="951">
        <f t="shared" si="5"/>
        <v>453</v>
      </c>
      <c r="AM19" s="951">
        <f t="shared" si="5"/>
        <v>1003</v>
      </c>
      <c r="AN19" s="951">
        <f t="shared" si="5"/>
        <v>0</v>
      </c>
      <c r="AO19" s="951">
        <f t="shared" si="5"/>
        <v>0</v>
      </c>
      <c r="AP19" s="951">
        <f>IF(ISNUMBER(((Datos!L19/Datos!K19)*11)/factor_trimestre),((Datos!L19/Datos!K19)*11)/factor_trimestre," - ")</f>
        <v>9.2318332718554057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-7.4999999999999997E-2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1.352562535647356E-2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160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4.6475800154489004</v>
      </c>
      <c r="F21" s="736">
        <f>IF(ISNUMBER(STDEV(F8:F18)),STDEV(F8:F18),"-")</f>
        <v>138.5640646055102</v>
      </c>
      <c r="G21" s="737">
        <f>IF(ISNUMBER(STDEV(G8:G18)),STDEV(G8:G18),"-")</f>
        <v>138.5640646055102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260.38753170354886</v>
      </c>
      <c r="AM21" s="736"/>
      <c r="AN21" s="736">
        <f>IF(ISNUMBER(STDEV(AN8:AN18)),STDEV(AN8:AN18),"-")</f>
        <v>0</v>
      </c>
      <c r="AO21" s="742">
        <f>IF(ISNUMBER(STDEV(AO8:AO18)),STDEV(AO8:AO18),"-")</f>
        <v>0</v>
      </c>
      <c r="AP21" s="779">
        <f>IF(ISNUMBER(STDEV(AP8:AP18)),STDEV(AP8:AP18),"-")</f>
        <v>16.367284699126273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sa0zw8u5wWWFtM2TMTzByDol+fP9E4ZjMAqE2xPcDjORCKH3UKO2mMIfLzyzu09mCC9aeIjm7nZhsSUMWciaAQ==" saltValue="uF1HRYcJeb0qgwuxH/qA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VILANOVA I LA GELTRU</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BYTK6JrpyCI9nu86XRYdXsHnAWlR66nCiJbIc7a+cL7gHRRGcJEpIpa2v1m81N2OXujYPSNLdTymmKujo+wP1w==" saltValue="U670IeP6guM5MaTe0/ZX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VILANOVA I LA GELTRU</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13</v>
      </c>
      <c r="G10" s="404">
        <f>IF(ISNUMBER(F10/B10),F10/B10," - ")</f>
        <v>13</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9</v>
      </c>
      <c r="C12" s="410">
        <f>Datos!AQ12</f>
        <v>9</v>
      </c>
      <c r="D12" s="403">
        <f>IF(ISNUMBER(Datos!M12),Datos!M12," - ")</f>
        <v>451</v>
      </c>
      <c r="E12" s="404">
        <f t="shared" si="0"/>
        <v>50.111111111111114</v>
      </c>
      <c r="F12" s="403">
        <f>IF(ISNUMBER(Datos!N12),Datos!N12," - ")</f>
        <v>990</v>
      </c>
      <c r="G12" s="404">
        <f t="shared" si="1"/>
        <v>110</v>
      </c>
      <c r="H12" s="403">
        <f>IF(ISNUMBER(Datos!O12),Datos!O12," - ")</f>
        <v>982</v>
      </c>
      <c r="I12" s="404">
        <f t="shared" si="2"/>
        <v>109.11111111111111</v>
      </c>
      <c r="BZ12" s="1186">
        <f>Datos!EZ12</f>
        <v>0</v>
      </c>
    </row>
    <row r="13" spans="1:78" ht="14.25" thickTop="1" thickBot="1">
      <c r="A13" s="848" t="str">
        <f>Datos!A13</f>
        <v>TOTAL</v>
      </c>
      <c r="B13" s="849">
        <f>Datos!AP13</f>
        <v>9</v>
      </c>
      <c r="C13" s="851">
        <f>Datos!AR13</f>
        <v>9</v>
      </c>
      <c r="D13" s="849">
        <f>SUBTOTAL(9,D9:D12)</f>
        <v>453</v>
      </c>
      <c r="E13" s="850">
        <f t="shared" si="0"/>
        <v>50.333333333333336</v>
      </c>
      <c r="F13" s="849">
        <f>SUBTOTAL(9,F9:F12)</f>
        <v>1003</v>
      </c>
      <c r="G13" s="850">
        <f t="shared" si="1"/>
        <v>111.44444444444444</v>
      </c>
      <c r="H13" s="849">
        <f>SUBTOTAL(9,H9:H12)</f>
        <v>983</v>
      </c>
      <c r="I13" s="850">
        <f>IF(ISNUMBER(H13/B13),H13/B13," - ")</f>
        <v>109.22222222222223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9</v>
      </c>
      <c r="C16" s="428">
        <f>Datos!AQ16</f>
        <v>9</v>
      </c>
      <c r="D16" s="403">
        <f>IF(ISNUMBER(Datos!M16),Datos!M16," - ")</f>
        <v>367</v>
      </c>
      <c r="E16" s="404">
        <f t="shared" si="3"/>
        <v>40.777777777777779</v>
      </c>
      <c r="F16" s="403">
        <f>IF(ISNUMBER(Datos!N16),Datos!N16," - ")</f>
        <v>1537</v>
      </c>
      <c r="G16" s="404">
        <f t="shared" si="4"/>
        <v>170.77777777777777</v>
      </c>
      <c r="H16" s="403">
        <f>IF(ISNUMBER(Datos!O16),Datos!O16," - ")</f>
        <v>16</v>
      </c>
      <c r="I16" s="404">
        <f t="shared" si="5"/>
        <v>1.7777777777777777</v>
      </c>
      <c r="BZ16" s="1186">
        <f>Datos!EZ16</f>
        <v>0</v>
      </c>
    </row>
    <row r="17" spans="1:78" ht="13.5" thickBot="1">
      <c r="A17" s="402" t="str">
        <f>Datos!A17</f>
        <v>Jdos. Violencia contra la mujer</v>
      </c>
      <c r="B17" s="427">
        <f>Datos!AO17</f>
        <v>1</v>
      </c>
      <c r="C17" s="428">
        <f>Datos!AQ17</f>
        <v>0</v>
      </c>
      <c r="D17" s="403">
        <f>IF(ISNUMBER(Datos!M17),Datos!M17," - ")</f>
        <v>9</v>
      </c>
      <c r="E17" s="404">
        <f>IF(ISNUMBER(D17/B17),D17/B17," - ")</f>
        <v>9</v>
      </c>
      <c r="F17" s="403">
        <f>IF(ISNUMBER(Datos!N17),Datos!N17," - ")</f>
        <v>208</v>
      </c>
      <c r="G17" s="404">
        <f>IF(ISNUMBER(F17/B17),F17/B17," - ")</f>
        <v>208</v>
      </c>
      <c r="H17" s="403">
        <f>IF(ISNUMBER(Datos!O17),Datos!O17," - ")</f>
        <v>0</v>
      </c>
      <c r="I17" s="404">
        <f t="shared" si="5"/>
        <v>0</v>
      </c>
      <c r="BZ17" s="1186">
        <f>Datos!EZ17</f>
        <v>0</v>
      </c>
    </row>
    <row r="18" spans="1:78" ht="14.25" thickTop="1" thickBot="1">
      <c r="A18" s="848" t="str">
        <f>Datos!A18</f>
        <v>TOTAL</v>
      </c>
      <c r="B18" s="849">
        <f>Datos!AP18</f>
        <v>9</v>
      </c>
      <c r="C18" s="851">
        <f>Datos!AR18</f>
        <v>9</v>
      </c>
      <c r="D18" s="849">
        <f>SUBTOTAL(9,D15:D17)</f>
        <v>376</v>
      </c>
      <c r="E18" s="850">
        <f t="shared" si="3"/>
        <v>41.777777777777779</v>
      </c>
      <c r="F18" s="849">
        <f>SUBTOTAL(9,F15:F17)</f>
        <v>1745</v>
      </c>
      <c r="G18" s="850">
        <f t="shared" si="4"/>
        <v>193.88888888888889</v>
      </c>
      <c r="H18" s="849">
        <f>SUBTOTAL(9,H15:H17)</f>
        <v>16</v>
      </c>
      <c r="I18" s="850">
        <f>IF(ISNUMBER(H18/B18),H18/B18," - ")</f>
        <v>1.7777777777777777</v>
      </c>
      <c r="BZ18" s="1186"/>
    </row>
    <row r="19" spans="1:78" ht="14.25" thickTop="1" thickBot="1">
      <c r="A19" s="793" t="str">
        <f>Datos!A19</f>
        <v>TOTAL JURISDICCIONES</v>
      </c>
      <c r="B19" s="794">
        <f>Datos!AP19</f>
        <v>9</v>
      </c>
      <c r="C19" s="794">
        <f>Datos!AR19</f>
        <v>9</v>
      </c>
      <c r="D19" s="794">
        <f>SUBTOTAL(9,D8:D18)</f>
        <v>829</v>
      </c>
      <c r="E19" s="795">
        <f>IF(ISNUMBER(D19/B19),D19/B19," - ")</f>
        <v>92.111111111111114</v>
      </c>
      <c r="F19" s="794">
        <f>SUBTOTAL(9,F8:F18)</f>
        <v>2748</v>
      </c>
      <c r="G19" s="795">
        <f>IF(ISNUMBER(F19/B19),F19/B19," - ")</f>
        <v>305.33333333333331</v>
      </c>
      <c r="H19" s="794">
        <f>SUBTOTAL(9,H8:H18)</f>
        <v>999</v>
      </c>
      <c r="I19" s="795">
        <f>IF(ISNUMBER(H19/B19),H19/B19," - ")</f>
        <v>111</v>
      </c>
    </row>
    <row r="22" spans="1:78">
      <c r="A22" s="391" t="str">
        <f>Criterios!A4</f>
        <v>Fecha Informe: 24 sep. 2025</v>
      </c>
    </row>
    <row r="27" spans="1:78">
      <c r="A27" s="414"/>
    </row>
  </sheetData>
  <sheetProtection algorithmName="SHA-512" hashValue="BFu51WI66RwSCAEOmxBSQvERdn89R2bYGPaBvg9PUVDRjYKCT4wPLmmGBg3yORae9/dKMsbTu7cFBY9GNhulhw==" saltValue="XMhR1WnqSfYDGuP0u5tu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VILANOVA I LA GELTRU</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3</v>
      </c>
      <c r="D10" s="408">
        <f>IF(ISNUMBER(Datos!R10),Datos!R10," - ")</f>
        <v>45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750</v>
      </c>
      <c r="C12" s="434">
        <f>IF(ISNUMBER(Datos!Q12),Datos!Q12," - ")</f>
        <v>582</v>
      </c>
      <c r="D12" s="408">
        <f>IF(ISNUMBER(Datos!R12),Datos!R12," - ")</f>
        <v>11862</v>
      </c>
    </row>
    <row r="13" spans="1:4" ht="14.25" thickTop="1" thickBot="1">
      <c r="A13" s="848" t="str">
        <f>Datos!A13</f>
        <v>TOTAL</v>
      </c>
      <c r="B13" s="849">
        <f>SUBTOTAL(9,B9:B12)</f>
        <v>752</v>
      </c>
      <c r="C13" s="853">
        <f>SUBTOTAL(9,C9:C12)</f>
        <v>585</v>
      </c>
      <c r="D13" s="851">
        <f>SUBTOTAL(9,D9:D12)</f>
        <v>11907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62</v>
      </c>
      <c r="C16" s="434">
        <f>IF(ISNUMBER(Datos!Q16),Datos!Q16," - ")</f>
        <v>65</v>
      </c>
      <c r="D16" s="408">
        <f>IF(ISNUMBER(Datos!R16),Datos!R16," - ")</f>
        <v>530</v>
      </c>
    </row>
    <row r="17" spans="1:4" ht="13.5" thickBot="1">
      <c r="A17" s="402" t="str">
        <f>Datos!A17</f>
        <v>Jdos. Violencia contra la mujer</v>
      </c>
      <c r="B17" s="433">
        <f>IF(ISNUMBER(Datos!P17),Datos!P17," - ")</f>
        <v>2</v>
      </c>
      <c r="C17" s="434">
        <f>IF(ISNUMBER(Datos!Q17),Datos!Q17," - ")</f>
        <v>0</v>
      </c>
      <c r="D17" s="408">
        <f>IF(ISNUMBER(Datos!R17),Datos!R17," - ")</f>
        <v>2</v>
      </c>
    </row>
    <row r="18" spans="1:4" ht="14.25" thickTop="1" thickBot="1">
      <c r="A18" s="848" t="str">
        <f>Datos!A18</f>
        <v>TOTAL</v>
      </c>
      <c r="B18" s="849">
        <f>SUBTOTAL(9,B15:B17)</f>
        <v>64</v>
      </c>
      <c r="C18" s="853">
        <f>SUBTOTAL(9,C15:C17)</f>
        <v>65</v>
      </c>
      <c r="D18" s="851">
        <f>SUBTOTAL(9,D15:D17)</f>
        <v>532</v>
      </c>
    </row>
    <row r="19" spans="1:4" ht="16.5" customHeight="1" thickTop="1" thickBot="1">
      <c r="A19" s="793" t="str">
        <f>Datos!A19</f>
        <v>TOTAL JURISDICCIONES</v>
      </c>
      <c r="B19" s="798">
        <f>SUBTOTAL(9,B8:B18)</f>
        <v>816</v>
      </c>
      <c r="C19" s="799">
        <f>SUBTOTAL(9,C8:C18)</f>
        <v>650</v>
      </c>
      <c r="D19" s="800">
        <f>SUBTOTAL(9,D8:D18)</f>
        <v>12439</v>
      </c>
    </row>
    <row r="20" spans="1:4" ht="7.5" customHeight="1"/>
    <row r="21" spans="1:4" ht="6" customHeight="1"/>
    <row r="22" spans="1:4">
      <c r="A22" s="391" t="str">
        <f>Criterios!A4</f>
        <v>Fecha Informe: 24 sep. 2025</v>
      </c>
    </row>
    <row r="27" spans="1:4">
      <c r="A27" s="414"/>
    </row>
  </sheetData>
  <sheetProtection algorithmName="SHA-512" hashValue="qAFUuMGVsaMLqnC9xUaX+8dJAADQNE9wcgUlSNNcFQtFCKc5jPEPkrxWvMnx9mJ6VuN8WKlXc8rVLQ8ouT1Fow==" saltValue="349Mx/nj9FQ369zmQf1l0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VILANOVA I LA GELTRU</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0.56862745098039214</v>
      </c>
      <c r="C10" s="456">
        <f>IF(ISNUMBER((Datos!J10-Datos!T10)/Datos!T10),(Datos!J10-Datos!T10)/Datos!T10," - ")</f>
        <v>0.29629629629629628</v>
      </c>
      <c r="D10" s="456">
        <f>IF(ISNUMBER((Datos!K10-Datos!U10)/Datos!U10),(Datos!K10-Datos!U10)/Datos!U10," - ")</f>
        <v>5.8823529411764705E-2</v>
      </c>
      <c r="E10" s="456">
        <f>IF(ISNUMBER((Datos!L10-Datos!V10)/Datos!V10),(Datos!L10-Datos!V10)/Datos!V10," - ")</f>
        <v>0.22966507177033493</v>
      </c>
      <c r="F10" s="456">
        <f>IF(ISNUMBER((Datos!M10-Datos!W10)/Datos!W10),(Datos!M10-Datos!W10)/Datos!W10," - ")</f>
        <v>-0.7142857142857143</v>
      </c>
      <c r="G10" s="457">
        <f>IF(ISNUMBER((Datos!N10-Datos!X10)/Datos!X10),(Datos!N10-Datos!X10)/Datos!X10," - ")</f>
        <v>3.3333333333333335</v>
      </c>
      <c r="H10" s="455">
        <f>IF(ISNUMBER(((NºAsuntos!G10/NºAsuntos!E10)-Datos!BD10)/Datos!BD10),((NºAsuntos!G10/NºAsuntos!E10)-Datos!BD10)/Datos!BD10," - ")</f>
        <v>-0.18319327731092447</v>
      </c>
      <c r="I10" s="456">
        <f>IF(ISNUMBER(((NºAsuntos!I10/NºAsuntos!G10)-Datos!BE10)/Datos!BE10),((NºAsuntos!I10/NºAsuntos!G10)-Datos!BE10)/Datos!BE10," - ")</f>
        <v>0.16135034556087188</v>
      </c>
      <c r="J10" s="461">
        <f>IF(ISNUMBER((('Resol  Asuntos'!D10/NºAsuntos!G10)-Datos!BF10)/Datos!BF10),(('Resol  Asuntos'!D10/NºAsuntos!G10)-Datos!BF10)/Datos!BF10," - ")</f>
        <v>-0.73015873015873012</v>
      </c>
      <c r="K10" s="462">
        <f>IF(ISNUMBER((((NºAsuntos!C10+NºAsuntos!E10)/NºAsuntos!G10)-Datos!BG10)/Datos!BG10),(((NºAsuntos!C10+NºAsuntos!E10)/NºAsuntos!G10)-Datos!BG10)/Datos!BG10," - ")</f>
        <v>0.44290123456790137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0.19194241727481756</v>
      </c>
      <c r="C12" s="456">
        <f>IF(ISNUMBER(
   IF(J_V="SI",(Datos!J12-Datos!T12)/Datos!T12,(Datos!J12+Datos!Z12-(Datos!T12+Datos!AH12))/(Datos!T12+Datos!AH12))
     ),IF(J_V="SI",(Datos!J12-Datos!T12)/Datos!T12,(Datos!J12+Datos!Z12-(Datos!T12+Datos!AH12))/(Datos!T12+Datos!AH12))," - ")</f>
        <v>-0.13238095238095238</v>
      </c>
      <c r="D12" s="456">
        <f>IF(ISNUMBER(
   IF(J_V="SI",(Datos!K12-Datos!U12)/Datos!U12,(Datos!K12+Datos!AA12-(Datos!U12+Datos!AI12))/(Datos!U12+Datos!AI12))
     ),IF(J_V="SI",(Datos!K12-Datos!U12)/Datos!U12,(Datos!K12+Datos!AA12-(Datos!U12+Datos!AI12))/(Datos!U12+Datos!AI12))," - ")</f>
        <v>0.13075849232201023</v>
      </c>
      <c r="E12" s="456">
        <f>IF(ISNUMBER(
   IF(J_V="SI",(Datos!L12-Datos!V12)/Datos!V12,(Datos!L12+Datos!AB12-(Datos!V12+Datos!AJ12))/(Datos!V12+Datos!AJ12))
     ),IF(J_V="SI",(Datos!L12-Datos!V12)/Datos!V12,(Datos!L12+Datos!AB12-(Datos!V12+Datos!AJ12))/(Datos!V12+Datos!AJ12))," - ")</f>
        <v>0.12421259842519684</v>
      </c>
      <c r="F12" s="456">
        <f>IF(ISNUMBER((Datos!M12-Datos!W12)/Datos!W12),(Datos!M12-Datos!W12)/Datos!W12," - ")</f>
        <v>-0.13269230769230769</v>
      </c>
      <c r="G12" s="457">
        <f>IF(ISNUMBER((Datos!N12-Datos!X12)/Datos!X12),(Datos!N12-Datos!X12)/Datos!X12," - ")</f>
        <v>8.1967213114754092E-2</v>
      </c>
      <c r="H12" s="455">
        <f>IF(ISNUMBER(((NºAsuntos!G12/NºAsuntos!E12)-Datos!BD12)/Datos!BD12),((NºAsuntos!G12/NºAsuntos!E12)-Datos!BD12)/Datos!BD12," - ")</f>
        <v>0.30328915141395235</v>
      </c>
      <c r="I12" s="456">
        <f>IF(ISNUMBER(((NºAsuntos!I12/NºAsuntos!G12)-Datos!BE12)/Datos!BE12),((NºAsuntos!I12/NºAsuntos!G12)-Datos!BE12)/Datos!BE12," - ")</f>
        <v>-5.7889407342599864E-3</v>
      </c>
      <c r="J12" s="461">
        <f>IF(ISNUMBER((('Resol  Asuntos'!D12/NºAsuntos!G12)-Datos!BF12)/Datos!BF12),(('Resol  Asuntos'!D12/NºAsuntos!G12)-Datos!BF12)/Datos!BF12," - ")</f>
        <v>-0.56410128404056759</v>
      </c>
      <c r="K12" s="462">
        <f>IF(ISNUMBER((((NºAsuntos!C12+NºAsuntos!E12)/NºAsuntos!G12)-Datos!BG12)/Datos!BG12),(((NºAsuntos!C12+NºAsuntos!E12)/NºAsuntos!G12)-Datos!BG12)/Datos!BG12," - ")</f>
        <v>4.3425277343406201E-3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0.1976171721150059</v>
      </c>
      <c r="C13" s="855">
        <f>IF(ISNUMBER(
   IF(J_V="SI",(Datos!J13-Datos!T13)/Datos!T13,(Datos!J13+Datos!Z13-(Datos!T13+Datos!AH13))/(Datos!T13+Datos!AH13))
     ),IF(J_V="SI",(Datos!J13-Datos!T13)/Datos!T13,(Datos!J13+Datos!Z13-(Datos!T13+Datos!AH13))/(Datos!T13+Datos!AH13))," - ")</f>
        <v>-0.12693935119887165</v>
      </c>
      <c r="D13" s="855">
        <f>IF(ISNUMBER(
   IF(J_V="SI",(Datos!K13-Datos!U13)/Datos!U13,(Datos!K13+Datos!AA13-(Datos!U13+Datos!AI13))/(Datos!U13+Datos!AI13))
     ),IF(J_V="SI",(Datos!K13-Datos!U13)/Datos!U13,(Datos!K13+Datos!AA13-(Datos!U13+Datos!AI13))/(Datos!U13+Datos!AI13))," - ")</f>
        <v>0.13019390581717452</v>
      </c>
      <c r="E13" s="855">
        <f>IF(ISNUMBER(
   IF(J_V="SI",(Datos!L13-Datos!V13)/Datos!V13,(Datos!L13+Datos!AB13-(Datos!V13+Datos!AJ13))/(Datos!V13+Datos!AJ13))
     ),IF(J_V="SI",(Datos!L13-Datos!V13)/Datos!V13,(Datos!L13+Datos!AB13-(Datos!V13+Datos!AJ13))/(Datos!V13+Datos!AJ13))," - ")</f>
        <v>0.12633812325200117</v>
      </c>
      <c r="F13" s="856">
        <f>IF(ISNUMBER((Datos!M13-Datos!W13)/Datos!W13),(Datos!M13-Datos!W13)/Datos!W13," - ")</f>
        <v>-0.14041745730550284</v>
      </c>
      <c r="G13" s="857">
        <f>IF(ISNUMBER((Datos!N13-Datos!X13)/Datos!X13),(Datos!N13-Datos!X13)/Datos!X13," - ")</f>
        <v>9.2592592592592587E-2</v>
      </c>
      <c r="H13" s="857">
        <f>IF(ISNUMBER(((NºAsuntos!G13/NºAsuntos!E13)-Datos!BD13)/Datos!BD13),((NºAsuntos!G13/NºAsuntos!E13)-Datos!BD13)/Datos!BD13," - ")</f>
        <v>0.29451935254341954</v>
      </c>
      <c r="I13" s="857">
        <f>IF(ISNUMBER(((NºAsuntos!I13/NºAsuntos!G13)-Datos!BE13)/Datos!BE13),((NºAsuntos!I13/NºAsuntos!G13)-Datos!BE13)/Datos!BE13," - ")</f>
        <v>-3.4116115343813284E-3</v>
      </c>
      <c r="J13" s="857">
        <f>IF(ISNUMBER((('Resol  Asuntos'!D13/NºAsuntos!G13)-Datos!BF13)/Datos!BF13),(('Resol  Asuntos'!D13/NºAsuntos!G13)-Datos!BF13)/Datos!BF13," - ")</f>
        <v>-0.56527529666964393</v>
      </c>
      <c r="K13" s="857">
        <f>IF(ISNUMBER((((NºAsuntos!C13+NºAsuntos!E13)/NºAsuntos!G13)-Datos!BG13)/Datos!BG13),(((NºAsuntos!C13+NºAsuntos!E13)/NºAsuntos!G13)-Datos!BG13)/Datos!BG13," - ")</f>
        <v>9.9284360817517084E-3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0.29383248047401023</v>
      </c>
      <c r="C16" s="456">
        <f>IF(ISNUMBER(
   IF(D_I="SI",(Datos!J16-Datos!T16)/Datos!T16,(Datos!J16+Datos!AD16-(Datos!T16+Datos!AL16))/(Datos!T16+Datos!AL16))
     ),IF(D_I="SI",(Datos!J16-Datos!T16)/Datos!T16,(Datos!J16+Datos!AD16-(Datos!T16+Datos!AL16))/(Datos!T16+Datos!AL16))," - ")</f>
        <v>-2.0804438280166437E-2</v>
      </c>
      <c r="D16" s="456">
        <f>IF(ISNUMBER(
   IF(D_I="SI",(Datos!K16-Datos!U16)/Datos!U16,(Datos!K16+Datos!AE16-(Datos!U16+Datos!AM16))/(Datos!U16+Datos!AM16))
     ),IF(D_I="SI",(Datos!K16-Datos!U16)/Datos!U16,(Datos!K16+Datos!AE16-(Datos!U16+Datos!AM16))/(Datos!U16+Datos!AM16))," - ")</f>
        <v>0.12306470821754664</v>
      </c>
      <c r="E16" s="456">
        <f>IF(ISNUMBER(
   IF(D_I="SI",(Datos!L16-Datos!V16)/Datos!V16,(Datos!L16+Datos!AF16-(Datos!V16+Datos!AN16))/(Datos!V16+Datos!AN16))
     ),IF(D_I="SI",(Datos!L16-Datos!V16)/Datos!V16,(Datos!L16+Datos!AF16-(Datos!V16+Datos!AN16))/(Datos!V16+Datos!AN16))," - ")</f>
        <v>0.21394291487749431</v>
      </c>
      <c r="F16" s="456">
        <f>IF(ISNUMBER((Datos!M16-Datos!W16)/Datos!W16),(Datos!M16-Datos!W16)/Datos!W16," - ")</f>
        <v>0.2356902356902357</v>
      </c>
      <c r="G16" s="457">
        <f>IF(ISNUMBER((Datos!N16-Datos!X16)/Datos!X16),(Datos!N16-Datos!X16)/Datos!X16," - ")</f>
        <v>0.1309786607799853</v>
      </c>
      <c r="H16" s="455">
        <f>IF(ISNUMBER(((NºAsuntos!G16/NºAsuntos!E16)-Datos!BD16)/Datos!BD16),((NºAsuntos!G16/NºAsuntos!E16)-Datos!BD16)/Datos!BD16," - ")</f>
        <v>0.14692585640913777</v>
      </c>
      <c r="I16" s="456">
        <f>IF(ISNUMBER(((NºAsuntos!I16/NºAsuntos!G16)-Datos!BE16)/Datos!BE16),((NºAsuntos!I16/NºAsuntos!G16)-Datos!BE16)/Datos!BE16," - ")</f>
        <v>8.0919831239451401E-2</v>
      </c>
      <c r="J16" s="461">
        <f>IF(ISNUMBER((('Resol  Asuntos'!D16/NºAsuntos!G16)-Datos!BF16)/Datos!BF16),(('Resol  Asuntos'!D16/NºAsuntos!G16)-Datos!BF16)/Datos!BF16," - ")</f>
        <v>0.10028409462838594</v>
      </c>
      <c r="K16" s="462">
        <f>IF(ISNUMBER((((NºAsuntos!C16+NºAsuntos!E16)/NºAsuntos!G16)-Datos!BG16)/Datos!BG16),(((NºAsuntos!C16+NºAsuntos!E16)/NºAsuntos!G16)-Datos!BG16)/Datos!BG16," - ")</f>
        <v>2.9578394326759301E-2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0.28212290502793297</v>
      </c>
      <c r="C17" s="456">
        <f>IF(ISNUMBER(
   IF(D_I="SI",(Datos!J17-Datos!T17)/Datos!T17,(Datos!J17+Datos!AD17-(Datos!T17+Datos!AL17))/(Datos!T17+Datos!AL17))
     ),IF(D_I="SI",(Datos!J17-Datos!T17)/Datos!T17,(Datos!J17+Datos!AD17-(Datos!T17+Datos!AL17))/(Datos!T17+Datos!AL17))," - ")</f>
        <v>0.16326530612244897</v>
      </c>
      <c r="D17" s="456">
        <f>IF(ISNUMBER(
   IF(D_I="SI",(Datos!K17-Datos!U17)/Datos!U17,(Datos!K17+Datos!AE17-(Datos!U17+Datos!AM17))/(Datos!U17+Datos!AM17))
     ),IF(D_I="SI",(Datos!K17-Datos!U17)/Datos!U17,(Datos!K17+Datos!AE17-(Datos!U17+Datos!AM17))/(Datos!U17+Datos!AM17))," - ")</f>
        <v>0.51333333333333331</v>
      </c>
      <c r="E17" s="456">
        <f>IF(ISNUMBER(
   IF(D_I="SI",(Datos!L17-Datos!V17)/Datos!V17,(Datos!L17+Datos!AF17-(Datos!V17+Datos!AN17))/(Datos!V17+Datos!AN17))
     ),IF(D_I="SI",(Datos!L17-Datos!V17)/Datos!V17,(Datos!L17+Datos!AF17-(Datos!V17+Datos!AN17))/(Datos!V17+Datos!AN17))," - ")</f>
        <v>0.13580246913580246</v>
      </c>
      <c r="F17" s="456">
        <f>IF(ISNUMBER((Datos!M17-Datos!W17)/Datos!W17),(Datos!M17-Datos!W17)/Datos!W17," - ")</f>
        <v>2</v>
      </c>
      <c r="G17" s="457">
        <f>IF(ISNUMBER((Datos!N17-Datos!X17)/Datos!X17),(Datos!N17-Datos!X17)/Datos!X17," - ")</f>
        <v>3</v>
      </c>
      <c r="H17" s="455">
        <f>IF(ISNUMBER(((NºAsuntos!G17/NºAsuntos!E17)-Datos!BD17)/Datos!BD17),((NºAsuntos!G17/NºAsuntos!E17)-Datos!BD17)/Datos!BD17," - ")</f>
        <v>0.30093567251461995</v>
      </c>
      <c r="I17" s="456">
        <f>IF(ISNUMBER(((NºAsuntos!I17/NºAsuntos!G17)-Datos!BE17)/Datos!BE17),((NºAsuntos!I17/NºAsuntos!G17)-Datos!BE17)/Datos!BE17," - ")</f>
        <v>-0.24946973405123182</v>
      </c>
      <c r="J17" s="461">
        <f>IF(ISNUMBER((('Resol  Asuntos'!D17/NºAsuntos!G17)-Datos!BF17)/Datos!BF17),(('Resol  Asuntos'!D17/NºAsuntos!G17)-Datos!BF17)/Datos!BF17," - ")</f>
        <v>0.98237885462555075</v>
      </c>
      <c r="K17" s="462">
        <f>IF(ISNUMBER((((NºAsuntos!C17+NºAsuntos!E17)/NºAsuntos!G17)-Datos!BG17)/Datos!BG17),(((NºAsuntos!C17+NºAsuntos!E17)/NºAsuntos!G17)-Datos!BG17)/Datos!BG17," - ")</f>
        <v>-0.1805690294056839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0.2928027511667895</v>
      </c>
      <c r="C18" s="855">
        <f>IF(ISNUMBER(
   IF(Criterios!B14="SI",(Datos!J18-Datos!T18)/Datos!T18,(Datos!J18+Datos!AD18-(Datos!T18+Datos!AL18))/(Datos!T18+Datos!AL18))
     ),IF(Criterios!B14="SI",(Datos!J18-Datos!T18)/Datos!T18,(Datos!J18+Datos!AD18-(Datos!T18+Datos!AL18))/(Datos!T18+Datos!AL18))," - ")</f>
        <v>-9.0909090909090905E-3</v>
      </c>
      <c r="D18" s="855">
        <f>IF(ISNUMBER(
   IF(Criterios!B14="SI",(Datos!K18-Datos!U18)/Datos!U18,(Datos!K18+Datos!AE18-(Datos!U18+Datos!AM18))/(Datos!U18+Datos!AM18))
     ),IF(Criterios!B14="SI",(Datos!K18-Datos!U18)/Datos!U18,(Datos!K18+Datos!AE18-(Datos!U18+Datos!AM18))/(Datos!U18+Datos!AM18))," - ")</f>
        <v>0.14499812663919071</v>
      </c>
      <c r="E18" s="855">
        <f>IF(ISNUMBER(
   IF(Criterios!B14="SI",(Datos!L18-Datos!V18)/Datos!V18,(Datos!L18+Datos!AF18-(Datos!V18+Datos!AN18))/(Datos!V18+Datos!AN18))
     ),IF(Criterios!B14="SI",(Datos!L18-Datos!V18)/Datos!V18,(Datos!L18+Datos!AF18-(Datos!V18+Datos!AN18))/(Datos!V18+Datos!AN18))," - ")</f>
        <v>0.20669110907424382</v>
      </c>
      <c r="F18" s="856">
        <f>IF(ISNUMBER((Datos!M18-Datos!W18)/Datos!W18),(Datos!M18-Datos!W18)/Datos!W18," - ")</f>
        <v>0.25333333333333335</v>
      </c>
      <c r="G18" s="857">
        <f>IF(ISNUMBER((Datos!N18-Datos!X18)/Datos!X18),(Datos!N18-Datos!X18)/Datos!X18," - ")</f>
        <v>0.23671155209071582</v>
      </c>
      <c r="H18" s="857">
        <f>IF(ISNUMBER(((NºAsuntos!G18/NºAsuntos!E18)-Datos!BD18)/Datos!BD18),((NºAsuntos!G18/NºAsuntos!E18)-Datos!BD18)/Datos!BD18," - ")</f>
        <v>0.15550269660835767</v>
      </c>
      <c r="I18" s="857">
        <f>IF(ISNUMBER(((NºAsuntos!I18/NºAsuntos!G18)-Datos!BE18)/Datos!BE18),((NºAsuntos!I18/NºAsuntos!G18)-Datos!BE18)/Datos!BE18," - ")</f>
        <v>5.3880422159409906E-2</v>
      </c>
      <c r="J18" s="857">
        <f>IF(ISNUMBER((('Resol  Asuntos'!D18/NºAsuntos!G18)-Datos!BF18)/Datos!BF18),(('Resol  Asuntos'!D18/NºAsuntos!G18)-Datos!BF18)/Datos!BF18," - ")</f>
        <v>9.4616055846422326E-2</v>
      </c>
      <c r="K18" s="857">
        <f>IF(ISNUMBER((((NºAsuntos!C18+NºAsuntos!E18)/NºAsuntos!G18)-Datos!BG18)/Datos!BG18),(((NºAsuntos!C18+NºAsuntos!E18)/NºAsuntos!G18)-Datos!BG18)/Datos!BG18," - ")</f>
        <v>1.5525187412004874E-2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0.22485415055879665</v>
      </c>
      <c r="C19" s="802">
        <f>IF(ISNUMBER(
   IF(J_V="SI",(Datos!J19-Datos!T19)/Datos!T19,(Datos!J19+Datos!Z19-(Datos!T19+Datos!AH19))/(Datos!T19+Datos!AH19))
     ),IF(J_V="SI",(Datos!J19-Datos!T19)/Datos!T19,(Datos!J19+Datos!Z19-(Datos!T19+Datos!AH19))/(Datos!T19+Datos!AH19))," - ")</f>
        <v>-5.7230651046667948E-2</v>
      </c>
      <c r="D19" s="802">
        <f>IF(ISNUMBER(
   IF(J_V="SI",(Datos!K19-Datos!U19)/Datos!U19,(Datos!K19+Datos!AA19-(Datos!U19+Datos!AI19))/(Datos!U19+Datos!AI19))
     ),IF(J_V="SI",(Datos!K19-Datos!U19)/Datos!U19,(Datos!K19+Datos!AA19-(Datos!U19+Datos!AI19))/(Datos!U19+Datos!AI19))," - ")</f>
        <v>0.13836608066184075</v>
      </c>
      <c r="E19" s="802">
        <f>IF(ISNUMBER(
   IF(J_V="SI",(Datos!L19-Datos!V19)/Datos!V19,(Datos!L19+Datos!AB19-(Datos!V19+Datos!AJ19))/(Datos!V19+Datos!AJ19))
     ),IF(J_V="SI",(Datos!L19-Datos!V19)/Datos!V19,(Datos!L19+Datos!AB19-(Datos!V19+Datos!AJ19))/(Datos!V19+Datos!AJ19))," - ")</f>
        <v>0.15013914341953438</v>
      </c>
      <c r="F19" s="803">
        <f>IF(ISNUMBER((Datos!M19-Datos!W19)/Datos!W19),(Datos!M19-Datos!W19)/Datos!W19," - ")</f>
        <v>2.4183796856106408E-3</v>
      </c>
      <c r="G19" s="804">
        <f>IF(ISNUMBER((Datos!N19-Datos!X19)/Datos!X19),(Datos!N19-Datos!X19)/Datos!X19," - ")</f>
        <v>0.17990553885787891</v>
      </c>
      <c r="H19" s="805">
        <f>IF(ISNUMBER((Tasas!B19-Datos!BD19)/Datos!BD19),(Tasas!B19-Datos!BD19)/Datos!BD19," - ")</f>
        <v>0.2074703976382572</v>
      </c>
      <c r="I19" s="806">
        <f>IF(ISNUMBER((Tasas!C19-Datos!BE19)/Datos!BE19),(Tasas!C19-Datos!BE19)/Datos!BE19," - ")</f>
        <v>1.0342070936309632E-2</v>
      </c>
      <c r="J19" s="807">
        <f>IF(ISNUMBER((Tasas!D19-Datos!BF19)/Datos!BF19),(Tasas!D19-Datos!BF19)/Datos!BF19," - ")</f>
        <v>-0.40406159008297499</v>
      </c>
      <c r="K19" s="807">
        <f>IF(ISNUMBER((Tasas!E19-Datos!BG19)/Datos!BG19),(Tasas!E19-Datos!BG19)/Datos!BG19," - ")</f>
        <v>9.5824945522233421E-3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vOaaahmKxsj1v2pzZfEpOK0mJP06A/3V8HJh9i2HvZ9GDpNS4n6P8J1b2d+n9IIEkh2RmoRlFIm9MSfHBJi6w==" saltValue="6k6koyE7ffm2cYzt68Zb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VILANOVA I LA GELTRU</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0.51428571428571423</v>
      </c>
      <c r="C10" s="443">
        <f>IF(ISNUMBER(NºAsuntos!I10/NºAsuntos!G10),NºAsuntos!I10/NºAsuntos!G10," - ")</f>
        <v>14.277777777777779</v>
      </c>
      <c r="D10" s="444">
        <f>IF(ISNUMBER('Resol  Asuntos'!D10/NºAsuntos!G10),'Resol  Asuntos'!D10/NºAsuntos!G10," - ")</f>
        <v>0.1111111111111111</v>
      </c>
      <c r="E10" s="445">
        <f>IF(ISNUMBER((NºAsuntos!C10+NºAsuntos!E10)/NºAsuntos!G10),(NºAsuntos!C10+NºAsuntos!E10)/NºAsuntos!G10," - ")</f>
        <v>15.277777777777779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1.3336992316136114</v>
      </c>
      <c r="C12" s="443">
        <f>IF(ISNUMBER(NºAsuntos!I12/NºAsuntos!G12),NºAsuntos!I12/NºAsuntos!G12," - ")</f>
        <v>4.7004115226337451</v>
      </c>
      <c r="D12" s="444">
        <f>IF(ISNUMBER('Resol  Asuntos'!D12/NºAsuntos!G12),'Resol  Asuntos'!D12/NºAsuntos!G12," - ")</f>
        <v>0.18559670781893003</v>
      </c>
      <c r="E12" s="445">
        <f>IF(ISNUMBER((NºAsuntos!C12+NºAsuntos!E12)/NºAsuntos!G12),(NºAsuntos!C12+NºAsuntos!E12)/NºAsuntos!G12," - ")</f>
        <v>5.6563786008230457</v>
      </c>
      <c r="G12" s="463"/>
    </row>
    <row r="13" spans="1:7" ht="14.25" thickTop="1" thickBot="1">
      <c r="A13" s="848" t="str">
        <f>Datos!A13</f>
        <v>TOTAL</v>
      </c>
      <c r="B13" s="858">
        <f>IF(ISNUMBER(NºAsuntos!G13/NºAsuntos!E13),NºAsuntos!G13/NºAsuntos!E13," - ")</f>
        <v>1.3182552504038771</v>
      </c>
      <c r="C13" s="859">
        <f>IF(ISNUMBER(NºAsuntos!I13/NºAsuntos!G13),NºAsuntos!I13/NºAsuntos!G13," - ")</f>
        <v>4.770833333333333</v>
      </c>
      <c r="D13" s="860">
        <f>IF(ISNUMBER('Resol  Asuntos'!D13/NºAsuntos!G13),'Resol  Asuntos'!D13/NºAsuntos!G13," - ")</f>
        <v>0.18504901960784315</v>
      </c>
      <c r="E13" s="861">
        <f>IF(ISNUMBER((NºAsuntos!C13+NºAsuntos!E13)/NºAsuntos!G13),(NºAsuntos!C13+NºAsuntos!E13)/NºAsuntos!G13," - ")</f>
        <v>5.727124183006536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1.0017705382436262</v>
      </c>
      <c r="C16" s="443">
        <f>IF(ISNUMBER(NºAsuntos!I16/NºAsuntos!G16),NºAsuntos!I16/NºAsuntos!G16," - ")</f>
        <v>1.6988335100742311</v>
      </c>
      <c r="D16" s="444">
        <f>IF(ISNUMBER('Resol  Asuntos'!D16/NºAsuntos!G16),'Resol  Asuntos'!D16/NºAsuntos!G16," - ")</f>
        <v>0.12972781901732061</v>
      </c>
      <c r="E16" s="445">
        <f>IF(ISNUMBER((NºAsuntos!C16+NºAsuntos!E16)/NºAsuntos!G16),(NºAsuntos!C16+NºAsuntos!E16)/NºAsuntos!G16," - ")</f>
        <v>2.6963591375044187</v>
      </c>
      <c r="G16" s="463"/>
    </row>
    <row r="17" spans="1:7" ht="13.5" thickBot="1">
      <c r="A17" s="402" t="str">
        <f>Datos!A17</f>
        <v>Jdos. Violencia contra la mujer</v>
      </c>
      <c r="B17" s="442">
        <f>IF(ISNUMBER(NºAsuntos!G17/NºAsuntos!E17),NºAsuntos!G17/NºAsuntos!E17," - ")</f>
        <v>0.99561403508771928</v>
      </c>
      <c r="C17" s="443">
        <f>IF(ISNUMBER(NºAsuntos!I17/NºAsuntos!G17),NºAsuntos!I17/NºAsuntos!G17," - ")</f>
        <v>2.0264317180616742</v>
      </c>
      <c r="D17" s="444">
        <f>IF(ISNUMBER('Resol  Asuntos'!D17/NºAsuntos!G17),'Resol  Asuntos'!D17/NºAsuntos!G17," - ")</f>
        <v>3.9647577092511016E-2</v>
      </c>
      <c r="E17" s="445">
        <f>IF(ISNUMBER((NºAsuntos!C17+NºAsuntos!E17)/NºAsuntos!G17),(NºAsuntos!C17+NºAsuntos!E17)/NºAsuntos!G17," - ")</f>
        <v>3.0264317180616742</v>
      </c>
      <c r="G17" s="463"/>
    </row>
    <row r="18" spans="1:7" ht="14.25" thickTop="1" thickBot="1">
      <c r="A18" s="848" t="str">
        <f>Datos!A18</f>
        <v>TOTAL</v>
      </c>
      <c r="B18" s="858">
        <f>IF(ISNUMBER(NºAsuntos!G18/NºAsuntos!E18),NºAsuntos!G18/NºAsuntos!E18," - ")</f>
        <v>1.0013106159895151</v>
      </c>
      <c r="C18" s="859">
        <f>IF(ISNUMBER(NºAsuntos!I18/NºAsuntos!G18),NºAsuntos!I18/NºAsuntos!G18," - ")</f>
        <v>1.7231675392670156</v>
      </c>
      <c r="D18" s="862">
        <f>IF(ISNUMBER('Resol  Asuntos'!D18/NºAsuntos!G18),'Resol  Asuntos'!D18/NºAsuntos!G18," - ")</f>
        <v>0.12303664921465969</v>
      </c>
      <c r="E18" s="861">
        <f>IF(ISNUMBER((NºAsuntos!C18+NºAsuntos!E18)/NºAsuntos!G18),(NºAsuntos!C18+NºAsuntos!E18)/NºAsuntos!G18," - ")</f>
        <v>2.7208769633507854</v>
      </c>
      <c r="G18" s="463"/>
    </row>
    <row r="19" spans="1:7" ht="15.75" customHeight="1" thickTop="1" thickBot="1">
      <c r="A19" s="793" t="str">
        <f>Datos!A19</f>
        <v>TOTAL JURISDICCIONES</v>
      </c>
      <c r="B19" s="808">
        <f>IF(ISNUMBER(NºAsuntos!G19/NºAsuntos!E19),NºAsuntos!G19/NºAsuntos!E19," - ")</f>
        <v>1.121205948258301</v>
      </c>
      <c r="C19" s="809">
        <f>IF(ISNUMBER(NºAsuntos!I19/NºAsuntos!G19),NºAsuntos!I19/NºAsuntos!G19," - ")</f>
        <v>3.0786700581395348</v>
      </c>
      <c r="D19" s="810">
        <f>IF(ISNUMBER('Resol  Asuntos'!D19/NºAsuntos!G19),'Resol  Asuntos'!D19/NºAsuntos!G19," - ")</f>
        <v>0.15061773255813954</v>
      </c>
      <c r="E19" s="811">
        <f>IF(ISNUMBER((NºAsuntos!C19+NºAsuntos!E19)/NºAsuntos!G19),(NºAsuntos!C19+NºAsuntos!E19)/NºAsuntos!G19," - ")</f>
        <v>4.0579578488372094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bRDI4d6BHQb6xfXCZb3Yli9r7zCbqVrJfWoreoEbYT752AG26781Jgkdz210s2nXA4/kQAQL0HRzOBLHFv+Rw==" saltValue="aUmJFEKpQvtN5kGw7QCt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VILANOVA I LA GELTRU</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240</v>
      </c>
      <c r="G10" s="333">
        <f>IF(ISNUMBER(Datos!I10),Datos!I10," - ")</f>
        <v>240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3</v>
      </c>
      <c r="Y10" s="334">
        <f t="shared" ref="Y10:Y12" si="0">SUM(W10:X10)</f>
        <v>21</v>
      </c>
      <c r="Z10" s="335" t="str">
        <f>IF(ISNUMBER(Datos!CC10),Datos!CC10," - ")</f>
        <v xml:space="preserve"> - </v>
      </c>
      <c r="AA10" s="332">
        <f>IF(ISNUMBER(Datos!L10),Datos!L10,"-")</f>
        <v>257</v>
      </c>
      <c r="AB10" s="334">
        <f>IF(ISNUMBER(Datos!R10),Datos!R10," - ")</f>
        <v>45</v>
      </c>
      <c r="AC10" s="334">
        <f t="shared" ref="AC10:AC12" si="1">IF(ISNUMBER(AA10+AB10),AA10+AB10," - ")</f>
        <v>302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0.51428571428571423</v>
      </c>
      <c r="AM10" s="260">
        <f>IF(ISNUMBER(((NºAsuntos!I10/NºAsuntos!G10)*11)/factor_trimestre),((NºAsuntos!I10/NºAsuntos!G10)*11)/factor_trimestre," - ")</f>
        <v>42.833333333333343</v>
      </c>
      <c r="AN10" s="244">
        <f>IF(ISNUMBER('Resol  Asuntos'!D10/NºAsuntos!G10),'Resol  Asuntos'!D10/NºAsuntos!G10," - ")</f>
        <v>0.1111111111111111</v>
      </c>
      <c r="AO10" s="245">
        <f>IF(ISNUMBER((NºAsuntos!C10+NºAsuntos!E10)/NºAsuntos!G10),(NºAsuntos!C10+NºAsuntos!E10)/NºAsuntos!G10," - ")</f>
        <v>15.277777777777779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582</v>
      </c>
      <c r="Y12" s="334">
        <f t="shared" si="0"/>
        <v>582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11862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451</v>
      </c>
      <c r="AJ12" s="229" t="str">
        <f>IF(ISNUMBER(Datos!BW12),Datos!BW12," - ")</f>
        <v xml:space="preserve"> - </v>
      </c>
      <c r="AK12" s="228" t="str">
        <f>IF(ISNUMBER(Datos!BX12),Datos!BX12," - ")</f>
        <v xml:space="preserve"> - </v>
      </c>
      <c r="AL12" s="243">
        <f>IF(ISNUMBER(NºAsuntos!G12/NºAsuntos!E12),NºAsuntos!G12/NºAsuntos!E12," - ")</f>
        <v>1.3336992316136114</v>
      </c>
      <c r="AM12" s="260">
        <f>IF(ISNUMBER(((NºAsuntos!I12/NºAsuntos!G12)*11)/factor_trimestre),((NºAsuntos!I12/NºAsuntos!G12)*11)/factor_trimestre," - ")</f>
        <v>14.101234567901237</v>
      </c>
      <c r="AN12" s="244">
        <f>IF(ISNUMBER('Resol  Asuntos'!D12/NºAsuntos!G12),'Resol  Asuntos'!D12/NºAsuntos!G12," - ")</f>
        <v>0.18559670781893003</v>
      </c>
      <c r="AO12" s="245">
        <f>IF(ISNUMBER((NºAsuntos!C12+NºAsuntos!E12)/NºAsuntos!G12),(NºAsuntos!C12+NºAsuntos!E12)/NºAsuntos!G12," - ")</f>
        <v>5.6563786008230457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240</v>
      </c>
      <c r="G13" s="866">
        <f t="shared" si="3"/>
        <v>240</v>
      </c>
      <c r="H13" s="865">
        <f t="shared" si="3"/>
        <v>0</v>
      </c>
      <c r="I13" s="867">
        <f t="shared" si="3"/>
        <v>0</v>
      </c>
      <c r="J13" s="867">
        <f t="shared" si="3"/>
        <v>0</v>
      </c>
      <c r="K13" s="867">
        <f t="shared" si="3"/>
        <v>0</v>
      </c>
      <c r="L13" s="867">
        <f t="shared" si="3"/>
        <v>752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585</v>
      </c>
      <c r="Y13" s="868">
        <f t="shared" si="4"/>
        <v>603</v>
      </c>
      <c r="Z13" s="868">
        <f t="shared" si="4"/>
        <v>0</v>
      </c>
      <c r="AA13" s="868">
        <f t="shared" si="4"/>
        <v>257</v>
      </c>
      <c r="AB13" s="868">
        <f t="shared" si="4"/>
        <v>11907</v>
      </c>
      <c r="AC13" s="868">
        <f t="shared" si="4"/>
        <v>302</v>
      </c>
      <c r="AD13" s="868">
        <f t="shared" si="4"/>
        <v>0</v>
      </c>
      <c r="AE13" s="872">
        <f t="shared" si="4"/>
        <v>0</v>
      </c>
      <c r="AF13" s="865">
        <f t="shared" si="4"/>
        <v>0</v>
      </c>
      <c r="AG13" s="873">
        <f t="shared" si="4"/>
        <v>0</v>
      </c>
      <c r="AH13" s="870">
        <f t="shared" si="4"/>
        <v>0</v>
      </c>
      <c r="AI13" s="865">
        <f t="shared" si="4"/>
        <v>453</v>
      </c>
      <c r="AJ13" s="867">
        <f t="shared" si="4"/>
        <v>0</v>
      </c>
      <c r="AK13" s="870">
        <f>SUBTOTAL(9,AK9:AK12)</f>
        <v>0</v>
      </c>
      <c r="AL13" s="874">
        <f>IF(ISNUMBER(NºAsuntos!G13/NºAsuntos!E13),NºAsuntos!G13/NºAsuntos!E13," - ")</f>
        <v>1.3182552504038771</v>
      </c>
      <c r="AM13" s="874">
        <f>IF(ISNUMBER(((NºAsuntos!I13/NºAsuntos!G13)*11)/factor_trimestre),((NºAsuntos!I13/NºAsuntos!G13)*11)/factor_trimestre," - ")</f>
        <v>14.3125</v>
      </c>
      <c r="AN13" s="875">
        <f>IF(ISNUMBER('Resol  Asuntos'!D13/NºAsuntos!G13),'Resol  Asuntos'!D13/NºAsuntos!G13," - ")</f>
        <v>0.18504901960784315</v>
      </c>
      <c r="AO13" s="876">
        <f>IF(ISNUMBER((NºAsuntos!C13+NºAsuntos!E13)/NºAsuntos!G13),(NºAsuntos!C13+NºAsuntos!E13)/NºAsuntos!G13," - ")</f>
        <v>5.727124183006536</v>
      </c>
      <c r="AP13" s="877" t="str">
        <f t="shared" si="2"/>
        <v xml:space="preserve"> - </v>
      </c>
      <c r="AQ13" s="877">
        <f>IF(ISNUMBER((H13-W13+K13)/(F13)),(H13-W13+K13)/(F13)," - ")</f>
        <v>-7.4999999999999997E-2</v>
      </c>
      <c r="AR13" s="878">
        <f>IF(ISNUMBER((Datos!P13-Datos!Q13)/(Datos!R13-Datos!P13+Datos!Q13)),(Datos!P13-Datos!Q13)/(Datos!R13-Datos!P13+Datos!Q13)," - ")</f>
        <v>1.4224872231686541E-2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4811</v>
      </c>
      <c r="G16" s="333">
        <f>IF(ISNUMBER(IF(D_I="SI",Datos!I16,Datos!I16+Datos!AC16)),IF(D_I="SI",Datos!I16,Datos!I16+Datos!AC16)," - ")</f>
        <v>4804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2829</v>
      </c>
      <c r="X16" s="226">
        <f>IF(ISNUMBER(Datos!Q16),Datos!Q16," - ")</f>
        <v>65</v>
      </c>
      <c r="Y16" s="334">
        <f t="shared" ref="Y16:Y17" si="7">SUM(W16:X16)</f>
        <v>2894</v>
      </c>
      <c r="Z16" s="335" t="str">
        <f>IF(ISNUMBER(Datos!CC16),Datos!CC16," - ")</f>
        <v xml:space="preserve"> - </v>
      </c>
      <c r="AA16" s="332">
        <f>IF(ISNUMBER(IF(D_I="SI",Datos!L16,Datos!L16+Datos!AF16)),IF(D_I="SI",Datos!L16,Datos!L16+Datos!AF16)," - ")</f>
        <v>4806</v>
      </c>
      <c r="AB16" s="334">
        <f>IF(ISNUMBER(Datos!R16),Datos!R16," - ")</f>
        <v>530</v>
      </c>
      <c r="AC16" s="334">
        <f t="shared" si="6"/>
        <v>5336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367</v>
      </c>
      <c r="AJ16" s="231" t="str">
        <f>IF(ISNUMBER(Datos!BW16),Datos!BW16," - ")</f>
        <v xml:space="preserve"> - </v>
      </c>
      <c r="AK16" s="232" t="str">
        <f>IF(ISNUMBER(Datos!BX16),Datos!BX16," - ")</f>
        <v xml:space="preserve"> - </v>
      </c>
      <c r="AL16" s="243">
        <f>IF(ISNUMBER(NºAsuntos!G16/NºAsuntos!E16),NºAsuntos!G16/NºAsuntos!E16," - ")</f>
        <v>1.0017705382436262</v>
      </c>
      <c r="AM16" s="260">
        <f>IF(ISNUMBER(((NºAsuntos!I16/NºAsuntos!G16)*11)/factor_trimestre),((NºAsuntos!I16/NºAsuntos!G16)*11)/factor_trimestre," - ")</f>
        <v>5.0965005302226931</v>
      </c>
      <c r="AN16" s="244">
        <f>IF(ISNUMBER('Resol  Asuntos'!D16/NºAsuntos!G16),'Resol  Asuntos'!D16/NºAsuntos!G16," - ")</f>
        <v>0.12972781901732061</v>
      </c>
      <c r="AO16" s="245">
        <f>IF(ISNUMBER((NºAsuntos!C16+NºAsuntos!E16)/NºAsuntos!G16),(NºAsuntos!C16+NºAsuntos!E16)/NºAsuntos!G16," - ")</f>
        <v>2.6963591375044187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459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227</v>
      </c>
      <c r="X17" s="226">
        <f>IF(ISNUMBER(Datos!Q17),Datos!Q17," - ")</f>
        <v>0</v>
      </c>
      <c r="Y17" s="334">
        <f t="shared" si="7"/>
        <v>227</v>
      </c>
      <c r="Z17" s="335" t="str">
        <f>IF(ISNUMBER(Datos!CC17),Datos!CC17," - ")</f>
        <v xml:space="preserve"> - </v>
      </c>
      <c r="AA17" s="332">
        <f>IF(ISNUMBER(Datos!L17),Datos!L17,"-")</f>
        <v>460</v>
      </c>
      <c r="AB17" s="334">
        <f>IF(ISNUMBER(Datos!R17),Datos!R17," - ")</f>
        <v>2</v>
      </c>
      <c r="AC17" s="334">
        <f t="shared" si="6"/>
        <v>462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0.99561403508771928</v>
      </c>
      <c r="AM17" s="260">
        <f>IF(ISNUMBER(((NºAsuntos!I17/NºAsuntos!G17)*11)/factor_trimestre),((NºAsuntos!I17/NºAsuntos!G17)*11)/factor_trimestre," - ")</f>
        <v>6.0792951541850231</v>
      </c>
      <c r="AN17" s="244">
        <f>IF(ISNUMBER('Resol  Asuntos'!D17/NºAsuntos!G17),'Resol  Asuntos'!D17/NºAsuntos!G17," - ")</f>
        <v>3.9647577092511016E-2</v>
      </c>
      <c r="AO17" s="245">
        <f>IF(ISNUMBER((NºAsuntos!C17+NºAsuntos!E17)/NºAsuntos!G17),(NºAsuntos!C17+NºAsuntos!E17)/NºAsuntos!G17," - ")</f>
        <v>3.0264317180616742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4811</v>
      </c>
      <c r="G18" s="866">
        <f>SUBTOTAL(9,G15:G17)</f>
        <v>5263</v>
      </c>
      <c r="H18" s="865">
        <f t="shared" ref="H18:O18" si="10">SUBTOTAL(9,H14:H17)</f>
        <v>0</v>
      </c>
      <c r="I18" s="867">
        <f t="shared" si="10"/>
        <v>0</v>
      </c>
      <c r="J18" s="867">
        <f t="shared" si="10"/>
        <v>0</v>
      </c>
      <c r="K18" s="867">
        <f t="shared" si="10"/>
        <v>0</v>
      </c>
      <c r="L18" s="867">
        <f t="shared" si="10"/>
        <v>64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3056</v>
      </c>
      <c r="X18" s="867">
        <f t="shared" si="11"/>
        <v>65</v>
      </c>
      <c r="Y18" s="868">
        <f t="shared" si="11"/>
        <v>3121</v>
      </c>
      <c r="Z18" s="868">
        <f t="shared" si="11"/>
        <v>0</v>
      </c>
      <c r="AA18" s="868">
        <f t="shared" si="11"/>
        <v>5266</v>
      </c>
      <c r="AB18" s="868">
        <f t="shared" si="11"/>
        <v>532</v>
      </c>
      <c r="AC18" s="868">
        <f t="shared" si="11"/>
        <v>5798</v>
      </c>
      <c r="AD18" s="868">
        <f t="shared" si="11"/>
        <v>0</v>
      </c>
      <c r="AE18" s="872">
        <f t="shared" si="11"/>
        <v>0</v>
      </c>
      <c r="AF18" s="865">
        <f t="shared" si="11"/>
        <v>0</v>
      </c>
      <c r="AG18" s="873">
        <f t="shared" si="11"/>
        <v>0</v>
      </c>
      <c r="AH18" s="870">
        <f t="shared" si="11"/>
        <v>0</v>
      </c>
      <c r="AI18" s="865">
        <f t="shared" si="11"/>
        <v>376</v>
      </c>
      <c r="AJ18" s="867">
        <f t="shared" si="11"/>
        <v>0</v>
      </c>
      <c r="AK18" s="870">
        <f t="shared" si="11"/>
        <v>0</v>
      </c>
      <c r="AL18" s="874">
        <f>IF(ISNUMBER(NºAsuntos!G18/NºAsuntos!E18),NºAsuntos!G18/NºAsuntos!E18," - ")</f>
        <v>1.0013106159895151</v>
      </c>
      <c r="AM18" s="874">
        <f>IF(ISNUMBER(((NºAsuntos!I18/NºAsuntos!G18)*11)/factor_trimestre),((NºAsuntos!I18/NºAsuntos!G18)*11)/factor_trimestre," - ")</f>
        <v>5.1695026178010473</v>
      </c>
      <c r="AN18" s="875">
        <f>IF(ISNUMBER('Resol  Asuntos'!D18/NºAsuntos!G18),'Resol  Asuntos'!D18/NºAsuntos!G18," - ")</f>
        <v>0.12303664921465969</v>
      </c>
      <c r="AO18" s="876">
        <f>IF(ISNUMBER((NºAsuntos!C18+NºAsuntos!E18)/NºAsuntos!G18),(NºAsuntos!C18+NºAsuntos!E18)/NºAsuntos!G18," - ")</f>
        <v>2.7208769633507854</v>
      </c>
      <c r="AP18" s="877" t="str">
        <f t="shared" si="2"/>
        <v xml:space="preserve"> - </v>
      </c>
      <c r="AQ18" s="877">
        <f>IF(ISNUMBER((H18-W18+K18)/(F18)),(H18-W18+K18)/(F18)," - ")</f>
        <v>-0.63521097484930367</v>
      </c>
      <c r="AR18" s="878">
        <f>IF(ISNUMBER((Datos!P18-Datos!Q18)/(Datos!R18-Datos!P18+Datos!Q18)),(Datos!P18-Datos!Q18)/(Datos!R18-Datos!P18+Datos!Q18)," - ")</f>
        <v>-1.876172607879925E-3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18</v>
      </c>
      <c r="F19" s="820">
        <f t="shared" si="13"/>
        <v>5051</v>
      </c>
      <c r="G19" s="821">
        <f t="shared" si="13"/>
        <v>5503</v>
      </c>
      <c r="H19" s="820">
        <f t="shared" si="13"/>
        <v>0</v>
      </c>
      <c r="I19" s="822">
        <f t="shared" si="13"/>
        <v>0</v>
      </c>
      <c r="J19" s="822">
        <f t="shared" si="13"/>
        <v>0</v>
      </c>
      <c r="K19" s="881">
        <f t="shared" si="13"/>
        <v>0</v>
      </c>
      <c r="L19" s="822">
        <f t="shared" si="13"/>
        <v>816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3074</v>
      </c>
      <c r="X19" s="821">
        <f t="shared" si="14"/>
        <v>650</v>
      </c>
      <c r="Y19" s="828">
        <f t="shared" si="14"/>
        <v>3724</v>
      </c>
      <c r="Z19" s="828">
        <f t="shared" si="14"/>
        <v>0</v>
      </c>
      <c r="AA19" s="828">
        <f t="shared" si="14"/>
        <v>5523</v>
      </c>
      <c r="AB19" s="828">
        <f t="shared" si="14"/>
        <v>12439</v>
      </c>
      <c r="AC19" s="828">
        <f t="shared" si="14"/>
        <v>6100</v>
      </c>
      <c r="AD19" s="828">
        <f t="shared" si="14"/>
        <v>0</v>
      </c>
      <c r="AE19" s="830">
        <f t="shared" si="14"/>
        <v>0</v>
      </c>
      <c r="AF19" s="831">
        <f t="shared" si="14"/>
        <v>0</v>
      </c>
      <c r="AG19" s="832">
        <f t="shared" si="14"/>
        <v>0</v>
      </c>
      <c r="AH19" s="830">
        <f t="shared" si="14"/>
        <v>0</v>
      </c>
      <c r="AI19" s="820">
        <f t="shared" si="14"/>
        <v>829</v>
      </c>
      <c r="AJ19" s="820">
        <f t="shared" si="14"/>
        <v>0</v>
      </c>
      <c r="AK19" s="830">
        <f t="shared" si="14"/>
        <v>0</v>
      </c>
      <c r="AL19" s="884">
        <f>IF(ISNUMBER(NºAsuntos!G19/NºAsuntos!E19),NºAsuntos!G19/NºAsuntos!E19," - ")</f>
        <v>1.121205948258301</v>
      </c>
      <c r="AM19" s="885">
        <f>IF(ISNUMBER(((NºAsuntos!I19/NºAsuntos!G19)*11)/factor_trimestre),((NºAsuntos!I19/NºAsuntos!G19)*11)/factor_trimestre," - ")</f>
        <v>9.2360101744186043</v>
      </c>
      <c r="AN19" s="885">
        <f>IF(ISNUMBER('Resol  Asuntos'!D19/NºAsuntos!G19),'Resol  Asuntos'!D19/NºAsuntos!G19," - ")</f>
        <v>0.15061773255813954</v>
      </c>
      <c r="AO19" s="886">
        <f>IF(ISNUMBER((NºAsuntos!C19+NºAsuntos!E19)/NºAsuntos!G19),(NºAsuntos!C19+NºAsuntos!E19)/NºAsuntos!G19," - ")</f>
        <v>4.0579578488372094</v>
      </c>
      <c r="AP19" s="887" t="str">
        <f t="shared" si="2"/>
        <v xml:space="preserve"> - </v>
      </c>
      <c r="AQ19" s="888">
        <f>IF(OR(ISNUMBER(FIND("01",Criterios!A8,1)),ISNUMBER(FIND("02",Criterios!A8,1)),ISNUMBER(FIND("03",Criterios!A8,1)),ISNUMBER(FIND("04",Criterios!A8,1))),(I19-W19+K19)/(F19-K19),(H19-W19+K19)/(F19-K19))</f>
        <v>-0.60859235794892097</v>
      </c>
      <c r="AR19" s="889">
        <f>IF(ISNUMBER((Datos!P19-Datos!Q19)/(Datos!R19-Datos!P19+Datos!Q19)),(Datos!P19-Datos!Q19)/(Datos!R19-Datos!P19+Datos!Q19)," - ")</f>
        <v>1.352562535647356E-2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2201.1999999999998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4.7434164902525691</v>
      </c>
      <c r="F21" s="252">
        <f>IF(ISNUMBER(STDEV(F8:F18)),STDEV(F8:F18),"-")</f>
        <v>2639.0680804657795</v>
      </c>
      <c r="G21" s="253">
        <f>IF(ISNUMBER(STDEV(G8:G18)),STDEV(G8:G18),"-")</f>
        <v>2592.1544514168131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1568.0380416303681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212.88463229333081</v>
      </c>
      <c r="AJ21" s="252">
        <f t="shared" si="18"/>
        <v>0</v>
      </c>
      <c r="AK21" s="254">
        <f t="shared" si="18"/>
        <v>0</v>
      </c>
      <c r="AL21" s="249">
        <f t="shared" si="18"/>
        <v>0.29801009756016084</v>
      </c>
      <c r="AM21" s="250">
        <f t="shared" si="18"/>
        <v>14.48658495796789</v>
      </c>
      <c r="AN21" s="250">
        <f t="shared" si="18"/>
        <v>5.4193420780651966E-2</v>
      </c>
      <c r="AO21" s="251">
        <f t="shared" si="18"/>
        <v>4.8300098751361169</v>
      </c>
      <c r="AP21" s="291" t="str">
        <f t="shared" si="18"/>
        <v>-</v>
      </c>
      <c r="AQ21" s="292">
        <f t="shared" si="18"/>
        <v>0.39612897921106904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Os3p9xubLH/0i44hnU3lMhpRL1ugdKyIJaiJUH5yp+N5vFuvjGbTta5aqHfeiMBbxCIRlNW6FHMLpTC94wMrw==" saltValue="nQZUnjBRdQVRxh0K24nj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VILANOVA I LA GELTRU</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0.56862745098039214</v>
      </c>
      <c r="E10" s="348">
        <f>IF(ISNUMBER((Datos!J10-Datos!T10)/Datos!T10),(Datos!J10-Datos!T10)/Datos!T10," - ")</f>
        <v>0.29629629629629628</v>
      </c>
      <c r="F10" s="348">
        <f>IF(ISNUMBER((Datos!K10-Datos!U10)/Datos!U10),(Datos!K10-Datos!U10)/Datos!U10," - ")</f>
        <v>5.8823529411764705E-2</v>
      </c>
      <c r="G10" s="349">
        <f>IF(ISNUMBER((Datos!L10-Datos!V10)/Datos!V10),(Datos!L10-Datos!V10)/Datos!V10," - ")</f>
        <v>0.22966507177033493</v>
      </c>
      <c r="H10" s="230">
        <f>IF(ISNUMBER((Datos!M10-Datos!W10)/Datos!W10),(Datos!M10-Datos!W10)/Datos!W10," - ")</f>
        <v>-0.7142857142857143</v>
      </c>
      <c r="I10" s="350">
        <f>IF(ISNUMBER((Tasas!C10-Datos!BE10)/Datos!BE10),(Tasas!C10-Datos!BE10)/Datos!BE10," - ")</f>
        <v>0.16135034556087188</v>
      </c>
      <c r="J10" s="349">
        <f>IF(ISNUMBER((Tasas!D10-Datos!BF10)/Datos!BF10),(Tasas!D10-Datos!BF10)/Datos!BF10," - ")</f>
        <v>-0.73015873015873012</v>
      </c>
      <c r="K10" s="351">
        <f>IF(ISNUMBER((Tasas!E10-Datos!BG10)/Datos!BG10),(Tasas!E10-Datos!BG10)/Datos!BG10," - ")</f>
        <v>0.44290123456790137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-0.13269230769230769</v>
      </c>
      <c r="I12" s="350">
        <f>IF(ISNUMBER((Tasas!C12-Datos!BE12)/Datos!BE12),(Tasas!C12-Datos!BE12)/Datos!BE12," - ")</f>
        <v>-5.7889407342599864E-3</v>
      </c>
      <c r="J12" s="349">
        <f>IF(ISNUMBER((Tasas!D12-Datos!BF12)/Datos!BF12),(Tasas!D12-Datos!BF12)/Datos!BF12," - ")</f>
        <v>-0.56410128404056759</v>
      </c>
      <c r="K12" s="351">
        <f>IF(ISNUMBER((Tasas!E12-Datos!BG12)/Datos!BG12),(Tasas!E12-Datos!BG12)/Datos!BG12," - ")</f>
        <v>4.3425277343406201E-3</v>
      </c>
      <c r="M12" t="e">
        <f>IF(Monitorios="SI",Datos!CE12,0)</f>
        <v>#REF!</v>
      </c>
      <c r="N12" t="e">
        <f>IF(Monitorios="SI",Datos!CF12,0)</f>
        <v>#REF!</v>
      </c>
      <c r="O12" t="e">
        <f>IF(Monitorios="SI",Datos!CG12,0)</f>
        <v>#REF!</v>
      </c>
      <c r="P12" t="e">
        <f>IF(Monitorios="SI",Datos!CH12,0)</f>
        <v>#REF!</v>
      </c>
      <c r="Q12">
        <f>IF(J_V="SI",0,Datos!AG12)</f>
        <v>248</v>
      </c>
      <c r="R12">
        <f>IF(J_V="SI",0,Datos!AH12)</f>
        <v>86</v>
      </c>
      <c r="S12">
        <f>IF(J_V="SI",0,Datos!AI12)</f>
        <v>102</v>
      </c>
      <c r="T12">
        <f>IF(J_V="SI",0,Datos!AJ12)</f>
        <v>240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-0.14041745730550284</v>
      </c>
      <c r="I13" s="357">
        <f>IF(ISNUMBER((Tasas!C13-Datos!BE13)/Datos!BE13),(Tasas!C13-Datos!BE13)/Datos!BE13," - ")</f>
        <v>-3.4116115343813284E-3</v>
      </c>
      <c r="J13" s="355">
        <f>IF(ISNUMBER((Tasas!D13-Datos!BF13)/Datos!BF13),(Tasas!D13-Datos!BF13)/Datos!BF13," - ")</f>
        <v>-0.56527529666964393</v>
      </c>
      <c r="K13" s="358">
        <f>IF(ISNUMBER((Tasas!E13-Datos!BG13)/Datos!BG13),(Tasas!E13-Datos!BG13)/Datos!BG13," - ")</f>
        <v>9.9284360817517084E-3</v>
      </c>
      <c r="M13" t="e">
        <f>IF(Monitorios="SI",Datos!CE13,0)</f>
        <v>#REF!</v>
      </c>
      <c r="N13" t="e">
        <f>IF(Monitorios="SI",Datos!CF13,0)</f>
        <v>#REF!</v>
      </c>
      <c r="O13" t="e">
        <f>IF(Monitorios="SI",Datos!CG13,0)</f>
        <v>#REF!</v>
      </c>
      <c r="P13" t="e">
        <f>IF(Monitorios="SI",Datos!CH13,0)</f>
        <v>#REF!</v>
      </c>
      <c r="Q13">
        <f>IF(J_V="SI",0,Datos!AG13)</f>
        <v>248</v>
      </c>
      <c r="R13">
        <f>IF(J_V="SI",0,Datos!AH13)</f>
        <v>86</v>
      </c>
      <c r="S13">
        <f>IF(J_V="SI",0,Datos!AI13)</f>
        <v>102</v>
      </c>
      <c r="T13">
        <f>IF(J_V="SI",0,Datos!AJ13)</f>
        <v>240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0.29383248047401023</v>
      </c>
      <c r="E16" s="348">
        <f>IF(ISNUMBER(
   IF(D_I="SI",(Datos!J16-Datos!T16)/Datos!T16,(Datos!J16+Datos!AD16-(Datos!T16+Datos!AL16))/(Datos!T16+Datos!AL16))
     ),IF(D_I="SI",(Datos!J16-Datos!T16)/Datos!T16,(Datos!J16+Datos!AD16-(Datos!T16+Datos!AL16))/(Datos!T16+Datos!AL16))," - ")</f>
        <v>-2.0804438280166437E-2</v>
      </c>
      <c r="F16" s="348">
        <f>IF(ISNUMBER(
   IF(D_I="SI",(Datos!K16-Datos!U16)/Datos!U16,(Datos!K16+Datos!AE16-(Datos!U16+Datos!AM16))/(Datos!U16+Datos!AM16))
     ),IF(D_I="SI",(Datos!K16-Datos!U16)/Datos!U16,(Datos!K16+Datos!AE16-(Datos!U16+Datos!AM16))/(Datos!U16+Datos!AM16))," - ")</f>
        <v>0.12306470821754664</v>
      </c>
      <c r="G16" s="349">
        <f>IF(ISNUMBER(
   IF(D_I="SI",(Datos!L16-Datos!V16)/Datos!V16,(Datos!L16+Datos!AF16-(Datos!V16+Datos!AN16))/(Datos!V16+Datos!AN16))
     ),IF(D_I="SI",(Datos!L16-Datos!V16)/Datos!V16,(Datos!L16+Datos!AF16-(Datos!V16+Datos!AN16))/(Datos!V16+Datos!AN16))," - ")</f>
        <v>0.21394291487749431</v>
      </c>
      <c r="H16" s="230">
        <f>IF(ISNUMBER((Datos!M16-Datos!W16)/Datos!W16),(Datos!M16-Datos!W16)/Datos!W16," - ")</f>
        <v>0.2356902356902357</v>
      </c>
      <c r="I16" s="350">
        <f>IF(ISNUMBER((Tasas!C16-Datos!BE16)/Datos!BE16),(Tasas!C16-Datos!BE16)/Datos!BE16," - ")</f>
        <v>8.0919831239451401E-2</v>
      </c>
      <c r="J16" s="349">
        <f>IF(ISNUMBER((Tasas!D16-Datos!BF16)/Datos!BF16),(Tasas!D16-Datos!BF16)/Datos!BF16," - ")</f>
        <v>0.10028409462838594</v>
      </c>
      <c r="K16" s="351">
        <f>IF(ISNUMBER((Tasas!E16-Datos!BG16)/Datos!BG16),(Tasas!E16-Datos!BG16)/Datos!BG16," - ")</f>
        <v>2.9578394326759301E-2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0.28212290502793297</v>
      </c>
      <c r="E17" s="348">
        <f>IF(ISNUMBER(
   IF(D_I="SI",(Datos!J17-Datos!T17)/Datos!T17,(Datos!J17+Datos!AD17-(Datos!T17+Datos!AL17))/(Datos!T17+Datos!AL17))
     ),IF(D_I="SI",(Datos!J17-Datos!T17)/Datos!T17,(Datos!J17+Datos!AD17-(Datos!T17+Datos!AL17))/(Datos!T17+Datos!AL17))," - ")</f>
        <v>0.16326530612244897</v>
      </c>
      <c r="F17" s="348">
        <f>IF(ISNUMBER(
   IF(D_I="SI",(Datos!K17-Datos!U17)/Datos!U17,(Datos!K17+Datos!AE17-(Datos!U17+Datos!AM17))/(Datos!U17+Datos!AM17))
     ),IF(D_I="SI",(Datos!K17-Datos!U17)/Datos!U17,(Datos!K17+Datos!AE17-(Datos!U17+Datos!AM17))/(Datos!U17+Datos!AM17))," - ")</f>
        <v>0.51333333333333331</v>
      </c>
      <c r="G17" s="349">
        <f>IF(ISNUMBER(
   IF(D_I="SI",(Datos!L17-Datos!V17)/Datos!V17,(Datos!L17+Datos!AF17-(Datos!V17+Datos!AN17))/(Datos!V17+Datos!AN17))
     ),IF(D_I="SI",(Datos!L17-Datos!V17)/Datos!V17,(Datos!L17+Datos!AF17-(Datos!V17+Datos!AN17))/(Datos!V17+Datos!AN17))," - ")</f>
        <v>0.13580246913580246</v>
      </c>
      <c r="H17" s="230">
        <f>IF(ISNUMBER((Datos!M17-Datos!W17)/Datos!W17),(Datos!M17-Datos!W17)/Datos!W17," - ")</f>
        <v>2</v>
      </c>
      <c r="I17" s="350">
        <f>IF(ISNUMBER((Tasas!C17-Datos!BE17)/Datos!BE17),(Tasas!C17-Datos!BE17)/Datos!BE17," - ")</f>
        <v>-0.24946973405123182</v>
      </c>
      <c r="J17" s="349">
        <f>IF(ISNUMBER((Tasas!D17-Datos!BF17)/Datos!BF17),(Tasas!D17-Datos!BF17)/Datos!BF17," - ")</f>
        <v>0.98237885462555075</v>
      </c>
      <c r="K17" s="351">
        <f>IF(ISNUMBER((Tasas!E17-Datos!BG17)/Datos!BG17),(Tasas!E17-Datos!BG17)/Datos!BG17," - ")</f>
        <v>-0.1805690294056839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0.2928027511667895</v>
      </c>
      <c r="E18" s="354">
        <f>IF(ISNUMBER(
   IF(D_I="SI",(Datos!J18-Datos!T18)/Datos!T18,(Datos!J18+Datos!AD18-(Datos!T18+Datos!AL18))/(Datos!T18+Datos!AL18))
     ),IF(D_I="SI",(Datos!J18-Datos!T18)/Datos!T18,(Datos!J18+Datos!AD18-(Datos!T18+Datos!AL18))/(Datos!T18+Datos!AL18))," - ")</f>
        <v>-9.0909090909090905E-3</v>
      </c>
      <c r="F18" s="354">
        <f>IF(ISNUMBER(
   IF(D_I="SI",(Datos!K18-Datos!U18)/Datos!U18,(Datos!K18+Datos!AE18-(Datos!U18+Datos!AM18))/(Datos!U18+Datos!AM18))
     ),IF(D_I="SI",(Datos!K18-Datos!U18)/Datos!U18,(Datos!K18+Datos!AE18-(Datos!U18+Datos!AM18))/(Datos!U18+Datos!AM18))," - ")</f>
        <v>0.14499812663919071</v>
      </c>
      <c r="G18" s="355">
        <f>IF(ISNUMBER(
   IF(D_I="SI",(Datos!L18-Datos!V18)/Datos!V18,(Datos!L18+Datos!AF18-(Datos!V18+Datos!AN18))/(Datos!V18+Datos!AN18))
     ),IF(D_I="SI",(Datos!L18-Datos!V18)/Datos!V18,(Datos!L18+Datos!AF18-(Datos!V18+Datos!AN18))/(Datos!V18+Datos!AN18))," - ")</f>
        <v>0.20669110907424382</v>
      </c>
      <c r="H18" s="356">
        <f>IF(ISNUMBER((Datos!M18-Datos!W18)/Datos!W18),(Datos!M18-Datos!W18)/Datos!W18," - ")</f>
        <v>0.25333333333333335</v>
      </c>
      <c r="I18" s="357">
        <f>IF(ISNUMBER((Tasas!C18-Datos!BE18)/Datos!BE18),(Tasas!C18-Datos!BE18)/Datos!BE18," - ")</f>
        <v>5.3880422159409906E-2</v>
      </c>
      <c r="J18" s="355">
        <f>IF(ISNUMBER((Tasas!D18-Datos!BF18)/Datos!BF18),(Tasas!D18-Datos!BF18)/Datos!BF18," - ")</f>
        <v>9.4616055846422326E-2</v>
      </c>
      <c r="K18" s="358">
        <f>IF(ISNUMBER((Tasas!E18-Datos!BG18)/Datos!BG18),(Tasas!E18-Datos!BG18)/Datos!BG18," - ")</f>
        <v>1.5525187412004874E-2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0.22485415055879665</v>
      </c>
      <c r="E19" s="363">
        <f>IF(ISNUMBER(
   IF(J_V="SI",(Datos!J19-Datos!T19)/Datos!T19,(Datos!J19+Datos!Z19-(Datos!T19+Datos!AH19))/(Datos!T19+Datos!AH19))
     ),IF(J_V="SI",(Datos!J19-Datos!T19)/Datos!T19,(Datos!J19+Datos!Z19-(Datos!T19+Datos!AH19))/(Datos!T19+Datos!AH19))," - ")</f>
        <v>-5.7230651046667948E-2</v>
      </c>
      <c r="F19" s="363">
        <f>IF(ISNUMBER(
   IF(J_V="SI",(Datos!K19-Datos!U19)/Datos!U19,(Datos!K19+Datos!AA19-(Datos!U19+Datos!AI19))/(Datos!U19+Datos!AI19))
     ),IF(J_V="SI",(Datos!K19-Datos!U19)/Datos!U19,(Datos!K19+Datos!AA19-(Datos!U19+Datos!AI19))/(Datos!U19+Datos!AI19))," - ")</f>
        <v>0.13836608066184075</v>
      </c>
      <c r="G19" s="364">
        <f>IF(ISNUMBER(
   IF(J_V="SI",(Datos!L19-Datos!V19)/Datos!V19,(Datos!L19+Datos!AB19-(Datos!V19+Datos!AJ19))/(Datos!V19+Datos!AJ19))
     ),IF(J_V="SI",(Datos!L19-Datos!V19)/Datos!V19,(Datos!L19+Datos!AB19-(Datos!V19+Datos!AJ19))/(Datos!V19+Datos!AJ19))," - ")</f>
        <v>0.15013914341953438</v>
      </c>
      <c r="H19" s="365">
        <f>IF(ISNUMBER((Datos!M19-Datos!W19)/Datos!W19),(Datos!M19-Datos!W19)/Datos!W19," - ")</f>
        <v>2.4183796856106408E-3</v>
      </c>
      <c r="I19" s="362">
        <f>IF(ISNUMBER((Tasas!C19-Datos!BE19)/Datos!BE19),(Tasas!C19-Datos!BE19)/Datos!BE19," - ")</f>
        <v>1.0342070936309632E-2</v>
      </c>
      <c r="J19" s="363">
        <f>IF(ISNUMBER((Tasas!D19-Datos!BF19)/Datos!BF19),(Tasas!D19-Datos!BF19)/Datos!BF19," - ")</f>
        <v>-0.40406159008297499</v>
      </c>
      <c r="K19" s="364">
        <f>IF(ISNUMBER((Tasas!E19-Datos!BG19)/Datos!BG19),(Tasas!E19-Datos!BG19)/Datos!BG19," - ")</f>
        <v>9.5824945522233421E-3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0.13962110314091003</v>
      </c>
      <c r="E21" s="278">
        <f t="shared" si="1"/>
        <v>0.15144773793924174</v>
      </c>
      <c r="F21" s="278">
        <f t="shared" si="1"/>
        <v>0.20546566039250339</v>
      </c>
      <c r="G21" s="279">
        <f t="shared" si="1"/>
        <v>4.1602178000970241E-2</v>
      </c>
      <c r="H21" s="285">
        <f t="shared" si="1"/>
        <v>0.92643851072778849</v>
      </c>
      <c r="I21" s="277">
        <f t="shared" si="1"/>
        <v>0.139664758014033</v>
      </c>
      <c r="J21" s="278">
        <f t="shared" si="1"/>
        <v>0.6445737441321655</v>
      </c>
      <c r="K21" s="279">
        <f t="shared" si="1"/>
        <v>0.20627690933859066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0ur1pePScSCW7JMgfVQBaqZgYuxpratSXoItraWGM+v6Zp6WRM73JVHxAGs3CukhCi1VHML84dU6DdSnCYOgsg==" saltValue="2zwTj49xmohZZvFom/Mf2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